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01"/>
  <workbookPr/>
  <mc:AlternateContent xmlns:mc="http://schemas.openxmlformats.org/markup-compatibility/2006">
    <mc:Choice Requires="x15">
      <x15ac:absPath xmlns:x15ac="http://schemas.microsoft.com/office/spreadsheetml/2010/11/ac" url="C:\Users\lxve_every1\Desktop\Программер\2 курс 2\Статистические методы в прикладных задачах\Лаба 2\"/>
    </mc:Choice>
  </mc:AlternateContent>
  <xr:revisionPtr revIDLastSave="0" documentId="13_ncr:1_{078FC35D-774B-4EB8-9FF8-2F4510CC3D3B}" xr6:coauthVersionLast="47" xr6:coauthVersionMax="47" xr10:uidLastSave="{00000000-0000-0000-0000-000000000000}"/>
  <bookViews>
    <workbookView xWindow="-120" yWindow="-120" windowWidth="29040" windowHeight="16440" activeTab="1" xr2:uid="{00000000-000D-0000-FFFF-FFFF00000000}"/>
  </bookViews>
  <sheets>
    <sheet name="Лист1" sheetId="3" r:id="rId1"/>
    <sheet name="Лаба 2" sheetId="2" r:id="rId2"/>
  </sheets>
  <definedNames>
    <definedName name="solver_adj" localSheetId="1">'Лаба 2'!$K$2</definedName>
    <definedName name="solver_opt" localSheetId="1">'Лаба 2'!$K$2</definedName>
    <definedName name="Z_ABA398B3_63A0_4FD0_96CF_1A25AD5B6FFE_.wvu.FilterData" localSheetId="1" hidden="1">'Лаба 2'!$A$2:$C$86</definedName>
  </definedNames>
  <calcPr calcId="191029"/>
  <customWorkbookViews>
    <customWorkbookView name="Фильтр 1" guid="{ABA398B3-63A0-4FD0-96CF-1A25AD5B6FFE}" maximized="1" windowWidth="0" windowHeight="0" activeSheetId="0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120" i="2" l="1"/>
  <c r="B118" i="2"/>
  <c r="C120" i="2"/>
  <c r="C118" i="2"/>
  <c r="BC9" i="2" l="1"/>
  <c r="BC10" i="2"/>
  <c r="BC11" i="2"/>
  <c r="BC12" i="2"/>
  <c r="BC13" i="2"/>
  <c r="BC14" i="2"/>
  <c r="BC15" i="2"/>
  <c r="BC16" i="2"/>
  <c r="BC17" i="2"/>
  <c r="BC18" i="2"/>
  <c r="BC19" i="2"/>
  <c r="BC20" i="2"/>
  <c r="BC21" i="2"/>
  <c r="BC22" i="2"/>
  <c r="BC23" i="2"/>
  <c r="BC24" i="2"/>
  <c r="BC25" i="2"/>
  <c r="BC26" i="2"/>
  <c r="BC27" i="2"/>
  <c r="BC28" i="2"/>
  <c r="BC29" i="2"/>
  <c r="BC30" i="2"/>
  <c r="BC31" i="2"/>
  <c r="BC32" i="2"/>
  <c r="BC33" i="2"/>
  <c r="BC34" i="2"/>
  <c r="BC35" i="2"/>
  <c r="BC36" i="2"/>
  <c r="BC37" i="2"/>
  <c r="BC38" i="2"/>
  <c r="BC39" i="2"/>
  <c r="BC40" i="2"/>
  <c r="BC41" i="2"/>
  <c r="BC42" i="2"/>
  <c r="BC43" i="2"/>
  <c r="BC44" i="2"/>
  <c r="BC45" i="2"/>
  <c r="BC46" i="2"/>
  <c r="BC47" i="2"/>
  <c r="BC48" i="2"/>
  <c r="BC49" i="2"/>
  <c r="BC50" i="2"/>
  <c r="BC51" i="2"/>
  <c r="BC52" i="2"/>
  <c r="BC53" i="2"/>
  <c r="BC54" i="2"/>
  <c r="BC55" i="2"/>
  <c r="BC56" i="2"/>
  <c r="BC57" i="2"/>
  <c r="BC58" i="2"/>
  <c r="BC59" i="2"/>
  <c r="BC60" i="2"/>
  <c r="BC61" i="2"/>
  <c r="BC62" i="2"/>
  <c r="BC63" i="2"/>
  <c r="BC64" i="2"/>
  <c r="BC65" i="2"/>
  <c r="BC66" i="2"/>
  <c r="BC67" i="2"/>
  <c r="BC68" i="2"/>
  <c r="BC69" i="2"/>
  <c r="BC70" i="2"/>
  <c r="BC71" i="2"/>
  <c r="BC72" i="2"/>
  <c r="BC73" i="2"/>
  <c r="BC74" i="2"/>
  <c r="BC75" i="2"/>
  <c r="BC76" i="2"/>
  <c r="BC77" i="2"/>
  <c r="BC78" i="2"/>
  <c r="BC79" i="2"/>
  <c r="BC80" i="2"/>
  <c r="BC81" i="2"/>
  <c r="BC82" i="2"/>
  <c r="BC83" i="2"/>
  <c r="BC84" i="2"/>
  <c r="BC85" i="2"/>
  <c r="BC86" i="2"/>
  <c r="BC3" i="2"/>
  <c r="BC4" i="2"/>
  <c r="BC5" i="2"/>
  <c r="BC6" i="2"/>
  <c r="BC7" i="2"/>
  <c r="BC8" i="2"/>
  <c r="BC2" i="2"/>
  <c r="AW12" i="2" l="1"/>
  <c r="AW11" i="2"/>
  <c r="AW9" i="2"/>
  <c r="AW8" i="2"/>
  <c r="AW6" i="2"/>
  <c r="AW7" i="2"/>
  <c r="AS2" i="2"/>
  <c r="AR3" i="2" s="1"/>
  <c r="AR49" i="2" l="1"/>
  <c r="AR64" i="2"/>
  <c r="AR65" i="2"/>
  <c r="AR59" i="2"/>
  <c r="AR57" i="2"/>
  <c r="AR83" i="2"/>
  <c r="AR51" i="2"/>
  <c r="AR82" i="2"/>
  <c r="AR66" i="2"/>
  <c r="AR50" i="2"/>
  <c r="AR34" i="2"/>
  <c r="AR18" i="2"/>
  <c r="AR33" i="2"/>
  <c r="AR17" i="2"/>
  <c r="AR48" i="2"/>
  <c r="AR32" i="2"/>
  <c r="AR16" i="2"/>
  <c r="AR47" i="2"/>
  <c r="AR31" i="2"/>
  <c r="AR15" i="2"/>
  <c r="AR62" i="2"/>
  <c r="AR46" i="2"/>
  <c r="AR30" i="2"/>
  <c r="AR14" i="2"/>
  <c r="AR78" i="2"/>
  <c r="AR77" i="2"/>
  <c r="AR61" i="2"/>
  <c r="AR45" i="2"/>
  <c r="AR29" i="2"/>
  <c r="AR13" i="2"/>
  <c r="AR79" i="2"/>
  <c r="AR76" i="2"/>
  <c r="AR60" i="2"/>
  <c r="AR44" i="2"/>
  <c r="AR28" i="2"/>
  <c r="AR12" i="2"/>
  <c r="AR75" i="2"/>
  <c r="AR27" i="2"/>
  <c r="AR11" i="2"/>
  <c r="AR42" i="2"/>
  <c r="AR26" i="2"/>
  <c r="AR10" i="2"/>
  <c r="AR9" i="2"/>
  <c r="AR74" i="2"/>
  <c r="AR40" i="2"/>
  <c r="AR24" i="2"/>
  <c r="AR8" i="2"/>
  <c r="AR39" i="2"/>
  <c r="AR23" i="2"/>
  <c r="AR7" i="2"/>
  <c r="AR41" i="2"/>
  <c r="AR6" i="2"/>
  <c r="AR81" i="2"/>
  <c r="AR43" i="2"/>
  <c r="AR25" i="2"/>
  <c r="AR2" i="2"/>
  <c r="AR55" i="2"/>
  <c r="AR70" i="2"/>
  <c r="AR22" i="2"/>
  <c r="AR85" i="2"/>
  <c r="AR69" i="2"/>
  <c r="AR53" i="2"/>
  <c r="AR37" i="2"/>
  <c r="AR21" i="2"/>
  <c r="AR5" i="2"/>
  <c r="AR63" i="2"/>
  <c r="AR73" i="2"/>
  <c r="AR56" i="2"/>
  <c r="AR71" i="2"/>
  <c r="AR86" i="2"/>
  <c r="AR54" i="2"/>
  <c r="AR38" i="2"/>
  <c r="AR84" i="2"/>
  <c r="AR68" i="2"/>
  <c r="AR52" i="2"/>
  <c r="AR36" i="2"/>
  <c r="AR20" i="2"/>
  <c r="AR4" i="2"/>
  <c r="AR80" i="2"/>
  <c r="AR58" i="2"/>
  <c r="AR72" i="2"/>
  <c r="AR67" i="2"/>
  <c r="AR35" i="2"/>
  <c r="AR19" i="2"/>
  <c r="B94" i="2" l="1"/>
  <c r="C3" i="2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BK86" i="2"/>
  <c r="BG86" i="2"/>
  <c r="BK85" i="2"/>
  <c r="BG85" i="2"/>
  <c r="BK84" i="2"/>
  <c r="BG84" i="2"/>
  <c r="BK83" i="2"/>
  <c r="BG83" i="2"/>
  <c r="BK82" i="2"/>
  <c r="BG82" i="2"/>
  <c r="BK81" i="2"/>
  <c r="BG81" i="2"/>
  <c r="BK80" i="2"/>
  <c r="BG80" i="2"/>
  <c r="BK79" i="2"/>
  <c r="BG79" i="2"/>
  <c r="BK78" i="2"/>
  <c r="BG78" i="2"/>
  <c r="BK77" i="2"/>
  <c r="BG77" i="2"/>
  <c r="BK76" i="2"/>
  <c r="BG76" i="2"/>
  <c r="BK75" i="2"/>
  <c r="BG75" i="2"/>
  <c r="BK74" i="2"/>
  <c r="BG74" i="2"/>
  <c r="BK73" i="2"/>
  <c r="BG73" i="2"/>
  <c r="BK72" i="2"/>
  <c r="BG72" i="2"/>
  <c r="BK71" i="2"/>
  <c r="BG71" i="2"/>
  <c r="BK70" i="2"/>
  <c r="BG70" i="2"/>
  <c r="BK69" i="2"/>
  <c r="BG69" i="2"/>
  <c r="BK68" i="2"/>
  <c r="BG68" i="2"/>
  <c r="BK67" i="2"/>
  <c r="BG67" i="2"/>
  <c r="BK66" i="2"/>
  <c r="BG66" i="2"/>
  <c r="BK65" i="2"/>
  <c r="BG65" i="2"/>
  <c r="BK64" i="2"/>
  <c r="BG64" i="2"/>
  <c r="BK63" i="2"/>
  <c r="BG63" i="2"/>
  <c r="BK62" i="2"/>
  <c r="BG62" i="2"/>
  <c r="BK61" i="2"/>
  <c r="BG61" i="2"/>
  <c r="BK60" i="2"/>
  <c r="BG60" i="2"/>
  <c r="BK59" i="2"/>
  <c r="BG59" i="2"/>
  <c r="BK58" i="2"/>
  <c r="BG58" i="2"/>
  <c r="BK57" i="2"/>
  <c r="BG57" i="2"/>
  <c r="BK56" i="2"/>
  <c r="BG56" i="2"/>
  <c r="BK55" i="2"/>
  <c r="BG55" i="2"/>
  <c r="BK54" i="2"/>
  <c r="BG54" i="2"/>
  <c r="BK53" i="2"/>
  <c r="BG53" i="2"/>
  <c r="BK52" i="2"/>
  <c r="BG52" i="2"/>
  <c r="BK51" i="2"/>
  <c r="BG51" i="2"/>
  <c r="BK50" i="2"/>
  <c r="BG50" i="2"/>
  <c r="BK49" i="2"/>
  <c r="BG49" i="2"/>
  <c r="BK48" i="2"/>
  <c r="BG48" i="2"/>
  <c r="BK47" i="2"/>
  <c r="BG47" i="2"/>
  <c r="BK46" i="2"/>
  <c r="BG46" i="2"/>
  <c r="BK45" i="2"/>
  <c r="BG45" i="2"/>
  <c r="BK44" i="2"/>
  <c r="BG44" i="2"/>
  <c r="BK43" i="2"/>
  <c r="BG43" i="2"/>
  <c r="BK42" i="2"/>
  <c r="BG42" i="2"/>
  <c r="BK41" i="2"/>
  <c r="BG41" i="2"/>
  <c r="BK40" i="2"/>
  <c r="BG40" i="2"/>
  <c r="BK39" i="2"/>
  <c r="BG39" i="2"/>
  <c r="BK38" i="2"/>
  <c r="BG38" i="2"/>
  <c r="BK37" i="2"/>
  <c r="BG37" i="2"/>
  <c r="BK36" i="2"/>
  <c r="BG36" i="2"/>
  <c r="BK35" i="2"/>
  <c r="BG35" i="2"/>
  <c r="BK34" i="2"/>
  <c r="BG34" i="2"/>
  <c r="BK33" i="2"/>
  <c r="BG33" i="2"/>
  <c r="BK32" i="2"/>
  <c r="BG32" i="2"/>
  <c r="BK31" i="2"/>
  <c r="BG31" i="2"/>
  <c r="BK30" i="2"/>
  <c r="BG30" i="2"/>
  <c r="BK29" i="2"/>
  <c r="BG29" i="2"/>
  <c r="BK28" i="2"/>
  <c r="BG28" i="2"/>
  <c r="BK27" i="2"/>
  <c r="BG27" i="2"/>
  <c r="BK26" i="2"/>
  <c r="BG26" i="2"/>
  <c r="BK25" i="2"/>
  <c r="BG25" i="2"/>
  <c r="BK24" i="2"/>
  <c r="BG24" i="2"/>
  <c r="BK23" i="2"/>
  <c r="BG23" i="2"/>
  <c r="BK22" i="2"/>
  <c r="BG22" i="2"/>
  <c r="BK21" i="2"/>
  <c r="BG21" i="2"/>
  <c r="BK20" i="2"/>
  <c r="BG20" i="2"/>
  <c r="BK19" i="2"/>
  <c r="BG19" i="2"/>
  <c r="BK18" i="2"/>
  <c r="BG18" i="2"/>
  <c r="BK17" i="2"/>
  <c r="BG17" i="2"/>
  <c r="BK16" i="2"/>
  <c r="BG16" i="2"/>
  <c r="BK15" i="2"/>
  <c r="BG15" i="2"/>
  <c r="BK14" i="2"/>
  <c r="BG14" i="2"/>
  <c r="BK13" i="2"/>
  <c r="BG13" i="2"/>
  <c r="BK12" i="2"/>
  <c r="BG12" i="2"/>
  <c r="BK11" i="2"/>
  <c r="BG11" i="2"/>
  <c r="BK10" i="2"/>
  <c r="BG10" i="2"/>
  <c r="BK9" i="2"/>
  <c r="BG9" i="2"/>
  <c r="BK8" i="2"/>
  <c r="BG8" i="2"/>
  <c r="BK7" i="2"/>
  <c r="BG7" i="2"/>
  <c r="BK6" i="2"/>
  <c r="BG6" i="2"/>
  <c r="BK5" i="2"/>
  <c r="BG5" i="2"/>
  <c r="BK4" i="2"/>
  <c r="BG4" i="2"/>
  <c r="BK3" i="2"/>
  <c r="BG3" i="2"/>
  <c r="BJ2" i="2"/>
  <c r="BK2" i="2" s="1"/>
  <c r="BG2" i="2"/>
  <c r="AM86" i="2"/>
  <c r="AI86" i="2"/>
  <c r="AM85" i="2"/>
  <c r="AI85" i="2"/>
  <c r="AM84" i="2"/>
  <c r="AI84" i="2"/>
  <c r="AM83" i="2"/>
  <c r="AI83" i="2"/>
  <c r="AM82" i="2"/>
  <c r="AI82" i="2"/>
  <c r="AM81" i="2"/>
  <c r="AI81" i="2"/>
  <c r="AM80" i="2"/>
  <c r="AI80" i="2"/>
  <c r="AM79" i="2"/>
  <c r="AI79" i="2"/>
  <c r="AM78" i="2"/>
  <c r="AI78" i="2"/>
  <c r="AM77" i="2"/>
  <c r="AI77" i="2"/>
  <c r="AM76" i="2"/>
  <c r="AI76" i="2"/>
  <c r="AM75" i="2"/>
  <c r="AI75" i="2"/>
  <c r="AM74" i="2"/>
  <c r="AI74" i="2"/>
  <c r="AM73" i="2"/>
  <c r="AI73" i="2"/>
  <c r="AM72" i="2"/>
  <c r="AI72" i="2"/>
  <c r="AM71" i="2"/>
  <c r="AI71" i="2"/>
  <c r="AM70" i="2"/>
  <c r="AI70" i="2"/>
  <c r="AM69" i="2"/>
  <c r="AI69" i="2"/>
  <c r="AM68" i="2"/>
  <c r="AI68" i="2"/>
  <c r="AM67" i="2"/>
  <c r="AI67" i="2"/>
  <c r="AM66" i="2"/>
  <c r="AI66" i="2"/>
  <c r="AM65" i="2"/>
  <c r="AI65" i="2"/>
  <c r="AM64" i="2"/>
  <c r="AI64" i="2"/>
  <c r="AM63" i="2"/>
  <c r="AI63" i="2"/>
  <c r="AM62" i="2"/>
  <c r="AI62" i="2"/>
  <c r="AM61" i="2"/>
  <c r="AI61" i="2"/>
  <c r="AM60" i="2"/>
  <c r="AI60" i="2"/>
  <c r="AM59" i="2"/>
  <c r="AI59" i="2"/>
  <c r="AM58" i="2"/>
  <c r="AI58" i="2"/>
  <c r="AM57" i="2"/>
  <c r="AI57" i="2"/>
  <c r="AM56" i="2"/>
  <c r="AI56" i="2"/>
  <c r="AM55" i="2"/>
  <c r="AI55" i="2"/>
  <c r="AM54" i="2"/>
  <c r="AI54" i="2"/>
  <c r="AM53" i="2"/>
  <c r="AI53" i="2"/>
  <c r="AM52" i="2"/>
  <c r="AI52" i="2"/>
  <c r="AM51" i="2"/>
  <c r="AI51" i="2"/>
  <c r="AM50" i="2"/>
  <c r="AI50" i="2"/>
  <c r="AM49" i="2"/>
  <c r="AI49" i="2"/>
  <c r="AM48" i="2"/>
  <c r="AI48" i="2"/>
  <c r="AM47" i="2"/>
  <c r="AI47" i="2"/>
  <c r="AM46" i="2"/>
  <c r="AI46" i="2"/>
  <c r="AM45" i="2"/>
  <c r="AI45" i="2"/>
  <c r="AM44" i="2"/>
  <c r="AI44" i="2"/>
  <c r="AM43" i="2"/>
  <c r="AI43" i="2"/>
  <c r="AM42" i="2"/>
  <c r="AI42" i="2"/>
  <c r="AM41" i="2"/>
  <c r="AI41" i="2"/>
  <c r="AM40" i="2"/>
  <c r="AI40" i="2"/>
  <c r="AM39" i="2"/>
  <c r="AI39" i="2"/>
  <c r="AM38" i="2"/>
  <c r="AI38" i="2"/>
  <c r="AM37" i="2"/>
  <c r="AI37" i="2"/>
  <c r="AM36" i="2"/>
  <c r="AI36" i="2"/>
  <c r="AM35" i="2"/>
  <c r="AI35" i="2"/>
  <c r="AM34" i="2"/>
  <c r="AI34" i="2"/>
  <c r="AM33" i="2"/>
  <c r="AI33" i="2"/>
  <c r="AM32" i="2"/>
  <c r="AI32" i="2"/>
  <c r="AM31" i="2"/>
  <c r="AI31" i="2"/>
  <c r="AM30" i="2"/>
  <c r="AI30" i="2"/>
  <c r="AM29" i="2"/>
  <c r="AI29" i="2"/>
  <c r="AM28" i="2"/>
  <c r="AI28" i="2"/>
  <c r="AM27" i="2"/>
  <c r="AI27" i="2"/>
  <c r="AM26" i="2"/>
  <c r="AI26" i="2"/>
  <c r="AM25" i="2"/>
  <c r="AI25" i="2"/>
  <c r="AM24" i="2"/>
  <c r="AI24" i="2"/>
  <c r="AM23" i="2"/>
  <c r="AI23" i="2"/>
  <c r="AM22" i="2"/>
  <c r="AI22" i="2"/>
  <c r="AM21" i="2"/>
  <c r="AI21" i="2"/>
  <c r="AM20" i="2"/>
  <c r="AI20" i="2"/>
  <c r="AM19" i="2"/>
  <c r="AI19" i="2"/>
  <c r="AM18" i="2"/>
  <c r="AI18" i="2"/>
  <c r="AM17" i="2"/>
  <c r="AI17" i="2"/>
  <c r="AM16" i="2"/>
  <c r="AI16" i="2"/>
  <c r="AM15" i="2"/>
  <c r="AI15" i="2"/>
  <c r="AM14" i="2"/>
  <c r="AI14" i="2"/>
  <c r="AM13" i="2"/>
  <c r="AI13" i="2"/>
  <c r="AM12" i="2"/>
  <c r="AI12" i="2"/>
  <c r="AM11" i="2"/>
  <c r="AI11" i="2"/>
  <c r="AM10" i="2"/>
  <c r="AI10" i="2"/>
  <c r="AM9" i="2"/>
  <c r="AI9" i="2"/>
  <c r="AM8" i="2"/>
  <c r="AI8" i="2"/>
  <c r="AM7" i="2"/>
  <c r="AI7" i="2"/>
  <c r="AM6" i="2"/>
  <c r="AI6" i="2"/>
  <c r="AM5" i="2"/>
  <c r="AI5" i="2"/>
  <c r="AM4" i="2"/>
  <c r="AI4" i="2"/>
  <c r="AM3" i="2"/>
  <c r="AI3" i="2"/>
  <c r="AL2" i="2"/>
  <c r="AM2" i="2" s="1"/>
  <c r="AI2" i="2"/>
  <c r="C2" i="2" l="1"/>
  <c r="J164" i="2"/>
  <c r="J160" i="2"/>
  <c r="B138" i="2"/>
  <c r="C119" i="2"/>
  <c r="B119" i="2"/>
  <c r="C99" i="2"/>
  <c r="E104" i="2" s="1"/>
  <c r="E107" i="2" s="1"/>
  <c r="B99" i="2"/>
  <c r="B105" i="2" s="1"/>
  <c r="U98" i="2"/>
  <c r="B95" i="2"/>
  <c r="U91" i="2"/>
  <c r="C91" i="2"/>
  <c r="B91" i="2"/>
  <c r="P86" i="2" s="1"/>
  <c r="Z86" i="2" s="1"/>
  <c r="AC90" i="2"/>
  <c r="C90" i="2"/>
  <c r="C92" i="2" s="1"/>
  <c r="B90" i="2"/>
  <c r="B92" i="2" s="1"/>
  <c r="AC89" i="2"/>
  <c r="C89" i="2"/>
  <c r="B89" i="2"/>
  <c r="B127" i="2" s="1"/>
  <c r="AC88" i="2"/>
  <c r="C88" i="2"/>
  <c r="B88" i="2"/>
  <c r="B126" i="2" s="1"/>
  <c r="L86" i="2"/>
  <c r="G86" i="2"/>
  <c r="F86" i="2"/>
  <c r="L85" i="2"/>
  <c r="G85" i="2"/>
  <c r="F85" i="2"/>
  <c r="L84" i="2"/>
  <c r="G84" i="2"/>
  <c r="F84" i="2"/>
  <c r="L83" i="2"/>
  <c r="G83" i="2"/>
  <c r="F83" i="2"/>
  <c r="L82" i="2"/>
  <c r="G82" i="2"/>
  <c r="F82" i="2"/>
  <c r="L81" i="2"/>
  <c r="G81" i="2"/>
  <c r="F81" i="2"/>
  <c r="L80" i="2"/>
  <c r="G80" i="2"/>
  <c r="F80" i="2"/>
  <c r="L79" i="2"/>
  <c r="G79" i="2"/>
  <c r="F79" i="2"/>
  <c r="L78" i="2"/>
  <c r="G78" i="2"/>
  <c r="F78" i="2"/>
  <c r="L77" i="2"/>
  <c r="G77" i="2"/>
  <c r="F77" i="2"/>
  <c r="L76" i="2"/>
  <c r="G76" i="2"/>
  <c r="F76" i="2"/>
  <c r="L75" i="2"/>
  <c r="G75" i="2"/>
  <c r="F75" i="2"/>
  <c r="L74" i="2"/>
  <c r="G74" i="2"/>
  <c r="F74" i="2"/>
  <c r="L73" i="2"/>
  <c r="G73" i="2"/>
  <c r="F73" i="2"/>
  <c r="L72" i="2"/>
  <c r="G72" i="2"/>
  <c r="F72" i="2"/>
  <c r="L71" i="2"/>
  <c r="G71" i="2"/>
  <c r="F71" i="2"/>
  <c r="L70" i="2"/>
  <c r="G70" i="2"/>
  <c r="F70" i="2"/>
  <c r="L69" i="2"/>
  <c r="G69" i="2"/>
  <c r="F69" i="2"/>
  <c r="L68" i="2"/>
  <c r="G68" i="2"/>
  <c r="F68" i="2"/>
  <c r="L67" i="2"/>
  <c r="G67" i="2"/>
  <c r="F67" i="2"/>
  <c r="L66" i="2"/>
  <c r="G66" i="2"/>
  <c r="F66" i="2"/>
  <c r="L65" i="2"/>
  <c r="G65" i="2"/>
  <c r="F65" i="2"/>
  <c r="L64" i="2"/>
  <c r="G64" i="2"/>
  <c r="F64" i="2"/>
  <c r="L63" i="2"/>
  <c r="G63" i="2"/>
  <c r="F63" i="2"/>
  <c r="L62" i="2"/>
  <c r="G62" i="2"/>
  <c r="F62" i="2"/>
  <c r="L61" i="2"/>
  <c r="G61" i="2"/>
  <c r="F61" i="2"/>
  <c r="L60" i="2"/>
  <c r="G60" i="2"/>
  <c r="F60" i="2"/>
  <c r="L59" i="2"/>
  <c r="G59" i="2"/>
  <c r="F59" i="2"/>
  <c r="L58" i="2"/>
  <c r="G58" i="2"/>
  <c r="F58" i="2"/>
  <c r="L57" i="2"/>
  <c r="G57" i="2"/>
  <c r="F57" i="2"/>
  <c r="L56" i="2"/>
  <c r="G56" i="2"/>
  <c r="F56" i="2"/>
  <c r="L55" i="2"/>
  <c r="G55" i="2"/>
  <c r="F55" i="2"/>
  <c r="L54" i="2"/>
  <c r="G54" i="2"/>
  <c r="F54" i="2"/>
  <c r="L53" i="2"/>
  <c r="G53" i="2"/>
  <c r="F53" i="2"/>
  <c r="L52" i="2"/>
  <c r="G52" i="2"/>
  <c r="F52" i="2"/>
  <c r="L51" i="2"/>
  <c r="G51" i="2"/>
  <c r="F51" i="2"/>
  <c r="E51" i="2"/>
  <c r="L50" i="2"/>
  <c r="G50" i="2"/>
  <c r="F50" i="2"/>
  <c r="L49" i="2"/>
  <c r="G49" i="2"/>
  <c r="F49" i="2"/>
  <c r="L48" i="2"/>
  <c r="G48" i="2"/>
  <c r="F48" i="2"/>
  <c r="L47" i="2"/>
  <c r="G47" i="2"/>
  <c r="F47" i="2"/>
  <c r="L46" i="2"/>
  <c r="G46" i="2"/>
  <c r="F46" i="2"/>
  <c r="L45" i="2"/>
  <c r="G45" i="2"/>
  <c r="F45" i="2"/>
  <c r="L44" i="2"/>
  <c r="G44" i="2"/>
  <c r="F44" i="2"/>
  <c r="L43" i="2"/>
  <c r="G43" i="2"/>
  <c r="F43" i="2"/>
  <c r="L42" i="2"/>
  <c r="G42" i="2"/>
  <c r="F42" i="2"/>
  <c r="L41" i="2"/>
  <c r="G41" i="2"/>
  <c r="F41" i="2"/>
  <c r="L40" i="2"/>
  <c r="G40" i="2"/>
  <c r="F40" i="2"/>
  <c r="L39" i="2"/>
  <c r="G39" i="2"/>
  <c r="F39" i="2"/>
  <c r="L38" i="2"/>
  <c r="G38" i="2"/>
  <c r="F38" i="2"/>
  <c r="L37" i="2"/>
  <c r="G37" i="2"/>
  <c r="F37" i="2"/>
  <c r="L36" i="2"/>
  <c r="G36" i="2"/>
  <c r="F36" i="2"/>
  <c r="L35" i="2"/>
  <c r="G35" i="2"/>
  <c r="F35" i="2"/>
  <c r="L34" i="2"/>
  <c r="G34" i="2"/>
  <c r="F34" i="2"/>
  <c r="L33" i="2"/>
  <c r="G33" i="2"/>
  <c r="F33" i="2"/>
  <c r="L32" i="2"/>
  <c r="G32" i="2"/>
  <c r="F32" i="2"/>
  <c r="L31" i="2"/>
  <c r="G31" i="2"/>
  <c r="F31" i="2"/>
  <c r="L30" i="2"/>
  <c r="G30" i="2"/>
  <c r="F30" i="2"/>
  <c r="L29" i="2"/>
  <c r="G29" i="2"/>
  <c r="F29" i="2"/>
  <c r="L28" i="2"/>
  <c r="G28" i="2"/>
  <c r="F28" i="2"/>
  <c r="L27" i="2"/>
  <c r="G27" i="2"/>
  <c r="F27" i="2"/>
  <c r="L26" i="2"/>
  <c r="G26" i="2"/>
  <c r="F26" i="2"/>
  <c r="L25" i="2"/>
  <c r="G25" i="2"/>
  <c r="F25" i="2"/>
  <c r="L24" i="2"/>
  <c r="G24" i="2"/>
  <c r="F24" i="2"/>
  <c r="L23" i="2"/>
  <c r="G23" i="2"/>
  <c r="F23" i="2"/>
  <c r="L22" i="2"/>
  <c r="G22" i="2"/>
  <c r="F22" i="2"/>
  <c r="L21" i="2"/>
  <c r="G21" i="2"/>
  <c r="F21" i="2"/>
  <c r="D21" i="2"/>
  <c r="L20" i="2"/>
  <c r="G20" i="2"/>
  <c r="F20" i="2"/>
  <c r="L19" i="2"/>
  <c r="G19" i="2"/>
  <c r="F19" i="2"/>
  <c r="O18" i="2"/>
  <c r="L18" i="2"/>
  <c r="G18" i="2"/>
  <c r="F18" i="2"/>
  <c r="L17" i="2"/>
  <c r="G17" i="2"/>
  <c r="F17" i="2"/>
  <c r="L16" i="2"/>
  <c r="G16" i="2"/>
  <c r="F16" i="2"/>
  <c r="L15" i="2"/>
  <c r="G15" i="2"/>
  <c r="F15" i="2"/>
  <c r="L14" i="2"/>
  <c r="G14" i="2"/>
  <c r="F14" i="2"/>
  <c r="L13" i="2"/>
  <c r="G13" i="2"/>
  <c r="F13" i="2"/>
  <c r="L12" i="2"/>
  <c r="G12" i="2"/>
  <c r="F12" i="2"/>
  <c r="L11" i="2"/>
  <c r="G11" i="2"/>
  <c r="F11" i="2"/>
  <c r="L10" i="2"/>
  <c r="G10" i="2"/>
  <c r="F10" i="2"/>
  <c r="L9" i="2"/>
  <c r="G9" i="2"/>
  <c r="F9" i="2"/>
  <c r="L8" i="2"/>
  <c r="G8" i="2"/>
  <c r="F8" i="2"/>
  <c r="L7" i="2"/>
  <c r="G7" i="2"/>
  <c r="F7" i="2"/>
  <c r="L6" i="2"/>
  <c r="G6" i="2"/>
  <c r="F6" i="2"/>
  <c r="L5" i="2"/>
  <c r="G5" i="2"/>
  <c r="F5" i="2"/>
  <c r="O4" i="2"/>
  <c r="L4" i="2"/>
  <c r="G4" i="2"/>
  <c r="F4" i="2"/>
  <c r="L3" i="2"/>
  <c r="G3" i="2"/>
  <c r="F3" i="2"/>
  <c r="L2" i="2"/>
  <c r="G2" i="2"/>
  <c r="F2" i="2"/>
  <c r="P27" i="2" l="1"/>
  <c r="Z27" i="2" s="1"/>
  <c r="O47" i="2"/>
  <c r="O38" i="2"/>
  <c r="P78" i="2"/>
  <c r="Z78" i="2" s="1"/>
  <c r="O15" i="2"/>
  <c r="O68" i="2"/>
  <c r="P6" i="2"/>
  <c r="Z6" i="2" s="1"/>
  <c r="P34" i="2"/>
  <c r="Z34" i="2" s="1"/>
  <c r="P43" i="2"/>
  <c r="Z43" i="2" s="1"/>
  <c r="P58" i="2"/>
  <c r="Z58" i="2" s="1"/>
  <c r="P38" i="2"/>
  <c r="Z38" i="2" s="1"/>
  <c r="O43" i="2"/>
  <c r="O34" i="2"/>
  <c r="P10" i="2"/>
  <c r="Z10" i="2" s="1"/>
  <c r="P83" i="2"/>
  <c r="Z83" i="2" s="1"/>
  <c r="O3" i="2"/>
  <c r="O7" i="2"/>
  <c r="O31" i="2"/>
  <c r="O35" i="2"/>
  <c r="P3" i="2"/>
  <c r="Z3" i="2" s="1"/>
  <c r="P7" i="2"/>
  <c r="Z7" i="2" s="1"/>
  <c r="P31" i="2"/>
  <c r="Z31" i="2" s="1"/>
  <c r="O27" i="2"/>
  <c r="P18" i="2"/>
  <c r="Z18" i="2" s="1"/>
  <c r="P64" i="2"/>
  <c r="Z64" i="2" s="1"/>
  <c r="P41" i="2"/>
  <c r="Z41" i="2" s="1"/>
  <c r="O50" i="2"/>
  <c r="P23" i="2"/>
  <c r="Z23" i="2" s="1"/>
  <c r="O46" i="2"/>
  <c r="P50" i="2"/>
  <c r="Z50" i="2" s="1"/>
  <c r="O6" i="2"/>
  <c r="O10" i="2"/>
  <c r="P46" i="2"/>
  <c r="Z46" i="2" s="1"/>
  <c r="P47" i="2"/>
  <c r="Z47" i="2" s="1"/>
  <c r="O56" i="2"/>
  <c r="P4" i="2"/>
  <c r="Z4" i="2" s="1"/>
  <c r="P35" i="2"/>
  <c r="Z35" i="2" s="1"/>
  <c r="O16" i="2"/>
  <c r="O20" i="2"/>
  <c r="O24" i="2"/>
  <c r="P28" i="2"/>
  <c r="Z28" i="2" s="1"/>
  <c r="O32" i="2"/>
  <c r="O40" i="2"/>
  <c r="P75" i="2"/>
  <c r="Z75" i="2" s="1"/>
  <c r="O12" i="2"/>
  <c r="P16" i="2"/>
  <c r="Z16" i="2" s="1"/>
  <c r="P20" i="2"/>
  <c r="Z20" i="2" s="1"/>
  <c r="P24" i="2"/>
  <c r="Z24" i="2" s="1"/>
  <c r="P32" i="2"/>
  <c r="Z32" i="2" s="1"/>
  <c r="P40" i="2"/>
  <c r="Z40" i="2" s="1"/>
  <c r="O71" i="2"/>
  <c r="O80" i="2"/>
  <c r="O9" i="2"/>
  <c r="O62" i="2"/>
  <c r="P71" i="2"/>
  <c r="Z71" i="2" s="1"/>
  <c r="O75" i="2"/>
  <c r="O2" i="2"/>
  <c r="P9" i="2"/>
  <c r="Z9" i="2" s="1"/>
  <c r="O13" i="2"/>
  <c r="P53" i="2"/>
  <c r="Z53" i="2" s="1"/>
  <c r="P67" i="2"/>
  <c r="Z67" i="2" s="1"/>
  <c r="P84" i="2"/>
  <c r="Z84" i="2" s="1"/>
  <c r="P2" i="2"/>
  <c r="P13" i="2"/>
  <c r="Z13" i="2" s="1"/>
  <c r="P17" i="2"/>
  <c r="Z17" i="2" s="1"/>
  <c r="P29" i="2"/>
  <c r="Z29" i="2" s="1"/>
  <c r="O58" i="2"/>
  <c r="O64" i="2"/>
  <c r="O84" i="2"/>
  <c r="O21" i="2"/>
  <c r="P52" i="2"/>
  <c r="Z52" i="2" s="1"/>
  <c r="P56" i="2"/>
  <c r="Z56" i="2" s="1"/>
  <c r="P68" i="2"/>
  <c r="Z68" i="2" s="1"/>
  <c r="O72" i="2"/>
  <c r="P80" i="2"/>
  <c r="Z80" i="2" s="1"/>
  <c r="P21" i="2"/>
  <c r="Z21" i="2" s="1"/>
  <c r="O29" i="2"/>
  <c r="P72" i="2"/>
  <c r="Z72" i="2" s="1"/>
  <c r="O49" i="2"/>
  <c r="O61" i="2"/>
  <c r="P49" i="2"/>
  <c r="Z49" i="2" s="1"/>
  <c r="P61" i="2"/>
  <c r="Z61" i="2" s="1"/>
  <c r="O65" i="2"/>
  <c r="O77" i="2"/>
  <c r="P26" i="2"/>
  <c r="Z26" i="2" s="1"/>
  <c r="O53" i="2"/>
  <c r="P65" i="2"/>
  <c r="Z65" i="2" s="1"/>
  <c r="O69" i="2"/>
  <c r="P77" i="2"/>
  <c r="Z77" i="2" s="1"/>
  <c r="P15" i="2"/>
  <c r="Z15" i="2" s="1"/>
  <c r="O26" i="2"/>
  <c r="O44" i="2"/>
  <c r="O55" i="2"/>
  <c r="P62" i="2"/>
  <c r="Z62" i="2" s="1"/>
  <c r="O81" i="2"/>
  <c r="O37" i="2"/>
  <c r="P44" i="2"/>
  <c r="Z44" i="2" s="1"/>
  <c r="P55" i="2"/>
  <c r="Z55" i="2" s="1"/>
  <c r="O74" i="2"/>
  <c r="P81" i="2"/>
  <c r="Z81" i="2" s="1"/>
  <c r="O85" i="2"/>
  <c r="P37" i="2"/>
  <c r="Z37" i="2" s="1"/>
  <c r="O59" i="2"/>
  <c r="P74" i="2"/>
  <c r="Z74" i="2" s="1"/>
  <c r="P12" i="2"/>
  <c r="Z12" i="2" s="1"/>
  <c r="O23" i="2"/>
  <c r="O30" i="2"/>
  <c r="O41" i="2"/>
  <c r="O52" i="2"/>
  <c r="P59" i="2"/>
  <c r="Z59" i="2" s="1"/>
  <c r="O78" i="2"/>
  <c r="C93" i="2"/>
  <c r="H97" i="2" s="1"/>
  <c r="G99" i="2" s="1"/>
  <c r="G100" i="2" s="1"/>
  <c r="G101" i="2" s="1"/>
  <c r="G102" i="2" s="1"/>
  <c r="B122" i="2"/>
  <c r="B123" i="2" s="1"/>
  <c r="P66" i="2"/>
  <c r="Z66" i="2" s="1"/>
  <c r="O5" i="2"/>
  <c r="P19" i="2"/>
  <c r="Z19" i="2" s="1"/>
  <c r="O33" i="2"/>
  <c r="O36" i="2"/>
  <c r="O60" i="2"/>
  <c r="P63" i="2"/>
  <c r="Z63" i="2" s="1"/>
  <c r="O76" i="2"/>
  <c r="P79" i="2"/>
  <c r="Z79" i="2" s="1"/>
  <c r="O66" i="2"/>
  <c r="P69" i="2"/>
  <c r="Z69" i="2" s="1"/>
  <c r="O82" i="2"/>
  <c r="P85" i="2"/>
  <c r="Z85" i="2" s="1"/>
  <c r="O11" i="2"/>
  <c r="O19" i="2"/>
  <c r="P30" i="2"/>
  <c r="Z30" i="2" s="1"/>
  <c r="O63" i="2"/>
  <c r="O79" i="2"/>
  <c r="P82" i="2"/>
  <c r="Z82" i="2" s="1"/>
  <c r="AG2" i="2"/>
  <c r="O8" i="2"/>
  <c r="P11" i="2"/>
  <c r="Z11" i="2" s="1"/>
  <c r="O39" i="2"/>
  <c r="P5" i="2"/>
  <c r="Z5" i="2" s="1"/>
  <c r="P8" i="2"/>
  <c r="Z8" i="2" s="1"/>
  <c r="O14" i="2"/>
  <c r="O22" i="2"/>
  <c r="P33" i="2"/>
  <c r="Z33" i="2" s="1"/>
  <c r="P36" i="2"/>
  <c r="Z36" i="2" s="1"/>
  <c r="P39" i="2"/>
  <c r="Z39" i="2" s="1"/>
  <c r="O42" i="2"/>
  <c r="O45" i="2"/>
  <c r="O48" i="2"/>
  <c r="O54" i="2"/>
  <c r="O57" i="2"/>
  <c r="P60" i="2"/>
  <c r="Z60" i="2" s="1"/>
  <c r="O73" i="2"/>
  <c r="P76" i="2"/>
  <c r="Z76" i="2" s="1"/>
  <c r="P14" i="2"/>
  <c r="Z14" i="2" s="1"/>
  <c r="P22" i="2"/>
  <c r="Z22" i="2" s="1"/>
  <c r="O25" i="2"/>
  <c r="P42" i="2"/>
  <c r="Z42" i="2" s="1"/>
  <c r="P45" i="2"/>
  <c r="Z45" i="2" s="1"/>
  <c r="P48" i="2"/>
  <c r="Z48" i="2" s="1"/>
  <c r="O51" i="2"/>
  <c r="P54" i="2"/>
  <c r="Z54" i="2" s="1"/>
  <c r="P57" i="2"/>
  <c r="Z57" i="2" s="1"/>
  <c r="O70" i="2"/>
  <c r="P73" i="2"/>
  <c r="Z73" i="2" s="1"/>
  <c r="O86" i="2"/>
  <c r="O17" i="2"/>
  <c r="P25" i="2"/>
  <c r="Z25" i="2" s="1"/>
  <c r="O28" i="2"/>
  <c r="P51" i="2"/>
  <c r="Z51" i="2" s="1"/>
  <c r="O67" i="2"/>
  <c r="P70" i="2"/>
  <c r="Z70" i="2" s="1"/>
  <c r="O83" i="2"/>
  <c r="B93" i="2"/>
  <c r="H89" i="2" s="1"/>
  <c r="I89" i="2" s="1"/>
  <c r="J89" i="2" s="1"/>
  <c r="M2" i="2"/>
  <c r="B100" i="2"/>
  <c r="C105" i="2" s="1"/>
  <c r="B102" i="2"/>
  <c r="B113" i="2" s="1"/>
  <c r="B114" i="2" s="1"/>
  <c r="B101" i="2"/>
  <c r="E105" i="2" s="1"/>
  <c r="E108" i="2" s="1"/>
  <c r="C104" i="2"/>
  <c r="D113" i="2"/>
  <c r="I97" i="2" l="1"/>
  <c r="J97" i="2" s="1"/>
  <c r="B107" i="2" a="1"/>
  <c r="C108" i="2" s="1"/>
  <c r="Z2" i="2"/>
  <c r="J162" i="2" s="1"/>
  <c r="G90" i="2"/>
  <c r="G92" i="2" s="1"/>
  <c r="G93" i="2" s="1"/>
  <c r="G94" i="2" s="1"/>
  <c r="K89" i="2"/>
  <c r="L89" i="2" s="1"/>
  <c r="I90" i="2"/>
  <c r="B131" i="2"/>
  <c r="C126" i="2"/>
  <c r="N85" i="2"/>
  <c r="N83" i="2"/>
  <c r="N81" i="2"/>
  <c r="N79" i="2"/>
  <c r="N77" i="2"/>
  <c r="N75" i="2"/>
  <c r="N73" i="2"/>
  <c r="N71" i="2"/>
  <c r="N69" i="2"/>
  <c r="N67" i="2"/>
  <c r="N65" i="2"/>
  <c r="N63" i="2"/>
  <c r="Q59" i="2"/>
  <c r="N58" i="2"/>
  <c r="Q56" i="2"/>
  <c r="Q86" i="2"/>
  <c r="Q84" i="2"/>
  <c r="Q82" i="2"/>
  <c r="Q80" i="2"/>
  <c r="Q78" i="2"/>
  <c r="Q76" i="2"/>
  <c r="Q74" i="2"/>
  <c r="Q72" i="2"/>
  <c r="Q70" i="2"/>
  <c r="Q68" i="2"/>
  <c r="Q66" i="2"/>
  <c r="Q64" i="2"/>
  <c r="Q62" i="2"/>
  <c r="N61" i="2"/>
  <c r="N54" i="2"/>
  <c r="N50" i="2"/>
  <c r="N49" i="2"/>
  <c r="N48" i="2"/>
  <c r="N47" i="2"/>
  <c r="N46" i="2"/>
  <c r="N45" i="2"/>
  <c r="N44" i="2"/>
  <c r="N43" i="2"/>
  <c r="N42" i="2"/>
  <c r="N41" i="2"/>
  <c r="N40" i="2"/>
  <c r="N39" i="2"/>
  <c r="N38" i="2"/>
  <c r="N37" i="2"/>
  <c r="N36" i="2"/>
  <c r="N35" i="2"/>
  <c r="N34" i="2"/>
  <c r="N33" i="2"/>
  <c r="Q57" i="2"/>
  <c r="N55" i="2"/>
  <c r="C127" i="2"/>
  <c r="B135" i="2"/>
  <c r="Q85" i="2"/>
  <c r="N80" i="2"/>
  <c r="Q75" i="2"/>
  <c r="N60" i="2"/>
  <c r="N78" i="2"/>
  <c r="Q73" i="2"/>
  <c r="N66" i="2"/>
  <c r="Q63" i="2"/>
  <c r="N56" i="2"/>
  <c r="Q51" i="2"/>
  <c r="Q50" i="2"/>
  <c r="Q46" i="2"/>
  <c r="Q42" i="2"/>
  <c r="Q38" i="2"/>
  <c r="Q34" i="2"/>
  <c r="N32" i="2"/>
  <c r="N31" i="2"/>
  <c r="N30" i="2"/>
  <c r="N29" i="2"/>
  <c r="N28" i="2"/>
  <c r="N27" i="2"/>
  <c r="N26" i="2"/>
  <c r="N25" i="2"/>
  <c r="N24" i="2"/>
  <c r="N23" i="2"/>
  <c r="N22" i="2"/>
  <c r="N21" i="2"/>
  <c r="N76" i="2"/>
  <c r="Q71" i="2"/>
  <c r="Q58" i="2"/>
  <c r="Q55" i="2"/>
  <c r="Q52" i="2"/>
  <c r="N20" i="2"/>
  <c r="N19" i="2"/>
  <c r="N18" i="2"/>
  <c r="N17" i="2"/>
  <c r="N16" i="2"/>
  <c r="N15" i="2"/>
  <c r="N14" i="2"/>
  <c r="N13" i="2"/>
  <c r="N12" i="2"/>
  <c r="N11" i="2"/>
  <c r="N10" i="2"/>
  <c r="N9" i="2"/>
  <c r="N8" i="2"/>
  <c r="N74" i="2"/>
  <c r="Q69" i="2"/>
  <c r="N64" i="2"/>
  <c r="N59" i="2"/>
  <c r="Q53" i="2"/>
  <c r="Q47" i="2"/>
  <c r="Q43" i="2"/>
  <c r="Q39" i="2"/>
  <c r="Q35" i="2"/>
  <c r="Q83" i="2"/>
  <c r="N72" i="2"/>
  <c r="Q61" i="2"/>
  <c r="N51" i="2"/>
  <c r="Q81" i="2"/>
  <c r="Q67" i="2"/>
  <c r="Q44" i="2"/>
  <c r="Q20" i="2"/>
  <c r="Q17" i="2"/>
  <c r="Q5" i="2"/>
  <c r="N86" i="2"/>
  <c r="N70" i="2"/>
  <c r="Q54" i="2"/>
  <c r="Q41" i="2"/>
  <c r="Q31" i="2"/>
  <c r="Q27" i="2"/>
  <c r="Q23" i="2"/>
  <c r="Q14" i="2"/>
  <c r="Q12" i="2"/>
  <c r="Q6" i="2"/>
  <c r="N3" i="2"/>
  <c r="N2" i="2"/>
  <c r="Q77" i="2"/>
  <c r="Q40" i="2"/>
  <c r="Q19" i="2"/>
  <c r="Q10" i="2"/>
  <c r="Q7" i="2"/>
  <c r="N4" i="2"/>
  <c r="Q37" i="2"/>
  <c r="Q30" i="2"/>
  <c r="Q26" i="2"/>
  <c r="Q22" i="2"/>
  <c r="Q16" i="2"/>
  <c r="N5" i="2"/>
  <c r="N84" i="2"/>
  <c r="N68" i="2"/>
  <c r="N53" i="2"/>
  <c r="Q36" i="2"/>
  <c r="Q8" i="2"/>
  <c r="N6" i="2"/>
  <c r="Q79" i="2"/>
  <c r="N57" i="2"/>
  <c r="N52" i="2"/>
  <c r="Q49" i="2"/>
  <c r="Q33" i="2"/>
  <c r="Q29" i="2"/>
  <c r="Q25" i="2"/>
  <c r="Q21" i="2"/>
  <c r="Q18" i="2"/>
  <c r="Q13" i="2"/>
  <c r="Q11" i="2"/>
  <c r="N7" i="2"/>
  <c r="N62" i="2"/>
  <c r="Q65" i="2"/>
  <c r="Q45" i="2"/>
  <c r="Q32" i="2"/>
  <c r="N82" i="2"/>
  <c r="Q60" i="2"/>
  <c r="Q9" i="2"/>
  <c r="Q28" i="2"/>
  <c r="Q4" i="2"/>
  <c r="Q3" i="2"/>
  <c r="Q48" i="2"/>
  <c r="Q15" i="2"/>
  <c r="Q2" i="2"/>
  <c r="Y2" i="2" s="1"/>
  <c r="Q24" i="2"/>
  <c r="D126" i="2"/>
  <c r="D127" i="2"/>
  <c r="K97" i="2"/>
  <c r="L97" i="2" s="1"/>
  <c r="I99" i="2"/>
  <c r="I100" i="2" s="1"/>
  <c r="I101" i="2" s="1"/>
  <c r="I102" i="2" s="1"/>
  <c r="B134" i="2"/>
  <c r="E131" i="2" l="1"/>
  <c r="M161" i="2"/>
  <c r="I92" i="2"/>
  <c r="I93" i="2" s="1"/>
  <c r="I94" i="2" s="1"/>
  <c r="B108" i="2"/>
  <c r="C107" i="2"/>
  <c r="B107" i="2"/>
  <c r="K90" i="2"/>
  <c r="M89" i="2"/>
  <c r="N89" i="2" s="1"/>
  <c r="R61" i="2"/>
  <c r="Y61" i="2"/>
  <c r="Y24" i="2"/>
  <c r="R24" i="2"/>
  <c r="R60" i="2"/>
  <c r="Y60" i="2"/>
  <c r="Y13" i="2"/>
  <c r="R13" i="2"/>
  <c r="R10" i="2"/>
  <c r="Y10" i="2"/>
  <c r="R14" i="2"/>
  <c r="Y14" i="2"/>
  <c r="Y5" i="2"/>
  <c r="R5" i="2"/>
  <c r="R52" i="2"/>
  <c r="Y52" i="2"/>
  <c r="R63" i="2"/>
  <c r="Y63" i="2"/>
  <c r="R76" i="2"/>
  <c r="Y76" i="2"/>
  <c r="R7" i="2"/>
  <c r="Y7" i="2"/>
  <c r="R79" i="2"/>
  <c r="Y79" i="2"/>
  <c r="R19" i="2"/>
  <c r="Y19" i="2"/>
  <c r="Y17" i="2"/>
  <c r="R17" i="2"/>
  <c r="R69" i="2"/>
  <c r="Y69" i="2"/>
  <c r="R34" i="2"/>
  <c r="Y34" i="2"/>
  <c r="R78" i="2"/>
  <c r="Y78" i="2"/>
  <c r="R59" i="2"/>
  <c r="Y59" i="2"/>
  <c r="Y15" i="2"/>
  <c r="R15" i="2"/>
  <c r="Y32" i="2"/>
  <c r="R32" i="2"/>
  <c r="Y21" i="2"/>
  <c r="R21" i="2"/>
  <c r="Y22" i="2"/>
  <c r="R22" i="2"/>
  <c r="R40" i="2"/>
  <c r="Y40" i="2"/>
  <c r="R27" i="2"/>
  <c r="Y27" i="2"/>
  <c r="Y20" i="2"/>
  <c r="R20" i="2"/>
  <c r="R35" i="2"/>
  <c r="Y35" i="2"/>
  <c r="R58" i="2"/>
  <c r="Y58" i="2"/>
  <c r="R38" i="2"/>
  <c r="Y38" i="2"/>
  <c r="R73" i="2"/>
  <c r="Y73" i="2"/>
  <c r="R64" i="2"/>
  <c r="Y64" i="2"/>
  <c r="R80" i="2"/>
  <c r="Y80" i="2"/>
  <c r="K99" i="2"/>
  <c r="K100" i="2" s="1"/>
  <c r="K101" i="2" s="1"/>
  <c r="K102" i="2" s="1"/>
  <c r="M97" i="2"/>
  <c r="N97" i="2" s="1"/>
  <c r="R48" i="2"/>
  <c r="Y48" i="2"/>
  <c r="Y45" i="2"/>
  <c r="R45" i="2"/>
  <c r="Y25" i="2"/>
  <c r="R25" i="2"/>
  <c r="R8" i="2"/>
  <c r="Y8" i="2"/>
  <c r="Y26" i="2"/>
  <c r="R26" i="2"/>
  <c r="R77" i="2"/>
  <c r="Y77" i="2"/>
  <c r="R31" i="2"/>
  <c r="Y31" i="2"/>
  <c r="R44" i="2"/>
  <c r="Y44" i="2"/>
  <c r="R39" i="2"/>
  <c r="Y39" i="2"/>
  <c r="R71" i="2"/>
  <c r="Y71" i="2"/>
  <c r="R42" i="2"/>
  <c r="Y42" i="2"/>
  <c r="R57" i="2"/>
  <c r="Y57" i="2"/>
  <c r="R66" i="2"/>
  <c r="Y66" i="2"/>
  <c r="R82" i="2"/>
  <c r="Y82" i="2"/>
  <c r="R74" i="2"/>
  <c r="Y74" i="2"/>
  <c r="R3" i="2"/>
  <c r="Y3" i="2"/>
  <c r="R65" i="2"/>
  <c r="Y65" i="2"/>
  <c r="Y29" i="2"/>
  <c r="R29" i="2"/>
  <c r="R36" i="2"/>
  <c r="Y36" i="2"/>
  <c r="Y30" i="2"/>
  <c r="R30" i="2"/>
  <c r="B130" i="2"/>
  <c r="E130" i="2" s="1"/>
  <c r="Y41" i="2"/>
  <c r="R41" i="2"/>
  <c r="R67" i="2"/>
  <c r="Y67" i="2"/>
  <c r="R43" i="2"/>
  <c r="Y43" i="2"/>
  <c r="R46" i="2"/>
  <c r="Y46" i="2"/>
  <c r="R68" i="2"/>
  <c r="Y68" i="2"/>
  <c r="R84" i="2"/>
  <c r="Y84" i="2"/>
  <c r="Y9" i="2"/>
  <c r="R9" i="2"/>
  <c r="R85" i="2"/>
  <c r="Y85" i="2"/>
  <c r="Y56" i="2"/>
  <c r="R56" i="2"/>
  <c r="Y4" i="2"/>
  <c r="R4" i="2"/>
  <c r="Y33" i="2"/>
  <c r="R33" i="2"/>
  <c r="Y37" i="2"/>
  <c r="R37" i="2"/>
  <c r="Y54" i="2"/>
  <c r="R54" i="2"/>
  <c r="R81" i="2"/>
  <c r="Y81" i="2"/>
  <c r="R47" i="2"/>
  <c r="Y47" i="2"/>
  <c r="R50" i="2"/>
  <c r="Y50" i="2"/>
  <c r="R75" i="2"/>
  <c r="Y75" i="2"/>
  <c r="R70" i="2"/>
  <c r="Y70" i="2"/>
  <c r="R86" i="2"/>
  <c r="Y86" i="2"/>
  <c r="Y11" i="2"/>
  <c r="R11" i="2"/>
  <c r="R12" i="2"/>
  <c r="Y12" i="2"/>
  <c r="R2" i="2"/>
  <c r="Y18" i="2"/>
  <c r="R18" i="2"/>
  <c r="R16" i="2"/>
  <c r="Y16" i="2"/>
  <c r="R23" i="2"/>
  <c r="Y23" i="2"/>
  <c r="R83" i="2"/>
  <c r="Y83" i="2"/>
  <c r="Y55" i="2"/>
  <c r="R55" i="2"/>
  <c r="R62" i="2"/>
  <c r="Y62" i="2"/>
  <c r="Y28" i="2"/>
  <c r="R28" i="2"/>
  <c r="Y49" i="2"/>
  <c r="R49" i="2"/>
  <c r="R6" i="2"/>
  <c r="Y6" i="2"/>
  <c r="R53" i="2"/>
  <c r="Y53" i="2"/>
  <c r="R51" i="2"/>
  <c r="Y51" i="2"/>
  <c r="R72" i="2"/>
  <c r="Y72" i="2"/>
  <c r="AB2" i="2" l="1"/>
  <c r="K92" i="2"/>
  <c r="K93" i="2" s="1"/>
  <c r="K94" i="2" s="1"/>
  <c r="B110" i="2" a="1"/>
  <c r="B110" i="2" s="1"/>
  <c r="M90" i="2"/>
  <c r="M92" i="2" s="1"/>
  <c r="M93" i="2" s="1"/>
  <c r="O89" i="2"/>
  <c r="P89" i="2" s="1"/>
  <c r="S74" i="2"/>
  <c r="T73" i="2"/>
  <c r="U73" i="2" s="1"/>
  <c r="T30" i="2"/>
  <c r="U30" i="2" s="1"/>
  <c r="S31" i="2"/>
  <c r="T39" i="2"/>
  <c r="U39" i="2" s="1"/>
  <c r="S40" i="2"/>
  <c r="T11" i="2"/>
  <c r="U11" i="2" s="1"/>
  <c r="S12" i="2"/>
  <c r="S84" i="2"/>
  <c r="T83" i="2"/>
  <c r="U83" i="2" s="1"/>
  <c r="T21" i="2"/>
  <c r="U21" i="2" s="1"/>
  <c r="S22" i="2"/>
  <c r="T4" i="2"/>
  <c r="U4" i="2" s="1"/>
  <c r="S5" i="2"/>
  <c r="S56" i="2"/>
  <c r="T55" i="2"/>
  <c r="U55" i="2" s="1"/>
  <c r="S71" i="2"/>
  <c r="T70" i="2"/>
  <c r="U70" i="2" s="1"/>
  <c r="S77" i="2"/>
  <c r="T76" i="2"/>
  <c r="U76" i="2" s="1"/>
  <c r="S64" i="2"/>
  <c r="T63" i="2"/>
  <c r="U63" i="2" s="1"/>
  <c r="S60" i="2"/>
  <c r="T59" i="2"/>
  <c r="U59" i="2" s="1"/>
  <c r="T22" i="2"/>
  <c r="U22" i="2" s="1"/>
  <c r="S23" i="2"/>
  <c r="S75" i="2"/>
  <c r="T74" i="2"/>
  <c r="U74" i="2" s="1"/>
  <c r="S67" i="2"/>
  <c r="T66" i="2"/>
  <c r="U66" i="2" s="1"/>
  <c r="S16" i="2"/>
  <c r="T15" i="2"/>
  <c r="U15" i="2" s="1"/>
  <c r="S68" i="2"/>
  <c r="T67" i="2"/>
  <c r="U67" i="2" s="1"/>
  <c r="T25" i="2"/>
  <c r="U25" i="2" s="1"/>
  <c r="S26" i="2"/>
  <c r="T19" i="2"/>
  <c r="U19" i="2" s="1"/>
  <c r="S20" i="2"/>
  <c r="S21" i="2"/>
  <c r="T20" i="2"/>
  <c r="U20" i="2" s="1"/>
  <c r="T23" i="2"/>
  <c r="U23" i="2" s="1"/>
  <c r="S24" i="2"/>
  <c r="S54" i="2"/>
  <c r="T53" i="2"/>
  <c r="U53" i="2" s="1"/>
  <c r="T35" i="2"/>
  <c r="U35" i="2" s="1"/>
  <c r="S36" i="2"/>
  <c r="S58" i="2"/>
  <c r="T57" i="2"/>
  <c r="U57" i="2" s="1"/>
  <c r="S69" i="2"/>
  <c r="T68" i="2"/>
  <c r="U68" i="2" s="1"/>
  <c r="S7" i="2"/>
  <c r="T6" i="2"/>
  <c r="U6" i="2" s="1"/>
  <c r="S11" i="2"/>
  <c r="T10" i="2"/>
  <c r="U10" i="2" s="1"/>
  <c r="T40" i="2"/>
  <c r="U40" i="2" s="1"/>
  <c r="S41" i="2"/>
  <c r="T49" i="2"/>
  <c r="U49" i="2" s="1"/>
  <c r="S50" i="2"/>
  <c r="S18" i="2"/>
  <c r="T17" i="2"/>
  <c r="U17" i="2" s="1"/>
  <c r="B133" i="2"/>
  <c r="B140" i="2" s="1"/>
  <c r="B132" i="2"/>
  <c r="B139" i="2" s="1"/>
  <c r="C134" i="2" s="1"/>
  <c r="S65" i="2"/>
  <c r="T64" i="2"/>
  <c r="U64" i="2" s="1"/>
  <c r="S66" i="2"/>
  <c r="T65" i="2"/>
  <c r="U65" i="2" s="1"/>
  <c r="S39" i="2"/>
  <c r="T38" i="2"/>
  <c r="U38" i="2" s="1"/>
  <c r="T47" i="2"/>
  <c r="U47" i="2" s="1"/>
  <c r="S48" i="2"/>
  <c r="S73" i="2"/>
  <c r="T72" i="2"/>
  <c r="U72" i="2" s="1"/>
  <c r="S78" i="2"/>
  <c r="T77" i="2"/>
  <c r="U77" i="2" s="1"/>
  <c r="S19" i="2"/>
  <c r="T18" i="2"/>
  <c r="U18" i="2" s="1"/>
  <c r="S76" i="2"/>
  <c r="T75" i="2"/>
  <c r="U75" i="2" s="1"/>
  <c r="T13" i="2"/>
  <c r="U13" i="2" s="1"/>
  <c r="S14" i="2"/>
  <c r="T28" i="2"/>
  <c r="U28" i="2" s="1"/>
  <c r="S29" i="2"/>
  <c r="T16" i="2"/>
  <c r="U16" i="2" s="1"/>
  <c r="S17" i="2"/>
  <c r="S53" i="2"/>
  <c r="T52" i="2"/>
  <c r="U52" i="2" s="1"/>
  <c r="T36" i="2"/>
  <c r="U36" i="2" s="1"/>
  <c r="S37" i="2"/>
  <c r="S82" i="2"/>
  <c r="T81" i="2"/>
  <c r="U81" i="2" s="1"/>
  <c r="S59" i="2"/>
  <c r="T58" i="2"/>
  <c r="U58" i="2" s="1"/>
  <c r="T5" i="2"/>
  <c r="U5" i="2" s="1"/>
  <c r="S6" i="2"/>
  <c r="S55" i="2"/>
  <c r="T54" i="2"/>
  <c r="U54" i="2" s="1"/>
  <c r="T32" i="2"/>
  <c r="U32" i="2" s="1"/>
  <c r="S33" i="2"/>
  <c r="T48" i="2"/>
  <c r="U48" i="2" s="1"/>
  <c r="S49" i="2"/>
  <c r="S86" i="2"/>
  <c r="T86" i="2"/>
  <c r="U86" i="2" s="1"/>
  <c r="T85" i="2"/>
  <c r="U85" i="2" s="1"/>
  <c r="S47" i="2"/>
  <c r="T46" i="2"/>
  <c r="U46" i="2" s="1"/>
  <c r="S85" i="2"/>
  <c r="T84" i="2"/>
  <c r="U84" i="2" s="1"/>
  <c r="T45" i="2"/>
  <c r="U45" i="2" s="1"/>
  <c r="S46" i="2"/>
  <c r="T29" i="2"/>
  <c r="U29" i="2" s="1"/>
  <c r="S30" i="2"/>
  <c r="M99" i="2"/>
  <c r="M100" i="2" s="1"/>
  <c r="M101" i="2" s="1"/>
  <c r="M102" i="2" s="1"/>
  <c r="O97" i="2"/>
  <c r="P97" i="2" s="1"/>
  <c r="T31" i="2"/>
  <c r="U31" i="2" s="1"/>
  <c r="S32" i="2"/>
  <c r="S51" i="2"/>
  <c r="T50" i="2"/>
  <c r="U50" i="2" s="1"/>
  <c r="T41" i="2"/>
  <c r="U41" i="2" s="1"/>
  <c r="S42" i="2"/>
  <c r="S80" i="2"/>
  <c r="T79" i="2"/>
  <c r="U79" i="2" s="1"/>
  <c r="S52" i="2"/>
  <c r="T51" i="2"/>
  <c r="U51" i="2" s="1"/>
  <c r="T44" i="2"/>
  <c r="U44" i="2" s="1"/>
  <c r="S45" i="2"/>
  <c r="S35" i="2"/>
  <c r="T34" i="2"/>
  <c r="U34" i="2" s="1"/>
  <c r="T8" i="2"/>
  <c r="U8" i="2" s="1"/>
  <c r="S9" i="2"/>
  <c r="T2" i="2"/>
  <c r="U2" i="2" s="1"/>
  <c r="S3" i="2"/>
  <c r="S57" i="2"/>
  <c r="T56" i="2"/>
  <c r="U56" i="2" s="1"/>
  <c r="T43" i="2"/>
  <c r="U43" i="2" s="1"/>
  <c r="S44" i="2"/>
  <c r="S8" i="2"/>
  <c r="T7" i="2"/>
  <c r="U7" i="2" s="1"/>
  <c r="T37" i="2"/>
  <c r="U37" i="2" s="1"/>
  <c r="S38" i="2"/>
  <c r="T26" i="2"/>
  <c r="U26" i="2" s="1"/>
  <c r="S27" i="2"/>
  <c r="T33" i="2"/>
  <c r="U33" i="2" s="1"/>
  <c r="S34" i="2"/>
  <c r="S79" i="2"/>
  <c r="T78" i="2"/>
  <c r="U78" i="2" s="1"/>
  <c r="S63" i="2"/>
  <c r="T62" i="2"/>
  <c r="U62" i="2" s="1"/>
  <c r="S10" i="2"/>
  <c r="T9" i="2"/>
  <c r="U9" i="2" s="1"/>
  <c r="S62" i="2"/>
  <c r="T61" i="2"/>
  <c r="U61" i="2" s="1"/>
  <c r="S72" i="2"/>
  <c r="T71" i="2"/>
  <c r="U71" i="2" s="1"/>
  <c r="T3" i="2"/>
  <c r="U3" i="2" s="1"/>
  <c r="S4" i="2"/>
  <c r="T27" i="2"/>
  <c r="U27" i="2" s="1"/>
  <c r="S28" i="2"/>
  <c r="S83" i="2"/>
  <c r="T82" i="2"/>
  <c r="U82" i="2" s="1"/>
  <c r="G150" i="2"/>
  <c r="E150" i="2"/>
  <c r="E151" i="2" s="1"/>
  <c r="E153" i="2"/>
  <c r="J150" i="2" s="1"/>
  <c r="E154" i="2"/>
  <c r="S2" i="2"/>
  <c r="S70" i="2"/>
  <c r="T69" i="2"/>
  <c r="U69" i="2" s="1"/>
  <c r="S81" i="2"/>
  <c r="T80" i="2"/>
  <c r="U80" i="2" s="1"/>
  <c r="S43" i="2"/>
  <c r="T42" i="2"/>
  <c r="U42" i="2" s="1"/>
  <c r="T24" i="2"/>
  <c r="U24" i="2" s="1"/>
  <c r="S25" i="2"/>
  <c r="S15" i="2"/>
  <c r="T14" i="2"/>
  <c r="U14" i="2" s="1"/>
  <c r="S13" i="2"/>
  <c r="T12" i="2"/>
  <c r="U12" i="2" s="1"/>
  <c r="S61" i="2"/>
  <c r="T60" i="2"/>
  <c r="U60" i="2" s="1"/>
  <c r="B111" i="2" l="1"/>
  <c r="AC2" i="2"/>
  <c r="AD2" i="2" s="1"/>
  <c r="J8" i="2"/>
  <c r="J9" i="2" s="1"/>
  <c r="E155" i="2"/>
  <c r="K150" i="2" s="1"/>
  <c r="Q89" i="2"/>
  <c r="R89" i="2" s="1"/>
  <c r="O90" i="2"/>
  <c r="E164" i="2"/>
  <c r="E149" i="2" s="1"/>
  <c r="Q97" i="2"/>
  <c r="R97" i="2" s="1"/>
  <c r="O99" i="2"/>
  <c r="O100" i="2" s="1"/>
  <c r="O101" i="2" s="1"/>
  <c r="O102" i="2" s="1"/>
  <c r="C135" i="2"/>
  <c r="C144" i="2"/>
  <c r="A144" i="2"/>
  <c r="A143" i="2"/>
  <c r="C143" i="2"/>
  <c r="V85" i="2"/>
  <c r="W85" i="2" s="1"/>
  <c r="X85" i="2" s="1"/>
  <c r="V83" i="2"/>
  <c r="W83" i="2" s="1"/>
  <c r="X83" i="2" s="1"/>
  <c r="V81" i="2"/>
  <c r="W81" i="2" s="1"/>
  <c r="X81" i="2" s="1"/>
  <c r="V79" i="2"/>
  <c r="W79" i="2" s="1"/>
  <c r="X79" i="2" s="1"/>
  <c r="V77" i="2"/>
  <c r="W77" i="2" s="1"/>
  <c r="X77" i="2" s="1"/>
  <c r="V75" i="2"/>
  <c r="W75" i="2" s="1"/>
  <c r="X75" i="2" s="1"/>
  <c r="V73" i="2"/>
  <c r="W73" i="2" s="1"/>
  <c r="X73" i="2" s="1"/>
  <c r="V71" i="2"/>
  <c r="W71" i="2" s="1"/>
  <c r="X71" i="2" s="1"/>
  <c r="V69" i="2"/>
  <c r="W69" i="2" s="1"/>
  <c r="X69" i="2" s="1"/>
  <c r="V67" i="2"/>
  <c r="W67" i="2" s="1"/>
  <c r="X67" i="2" s="1"/>
  <c r="V65" i="2"/>
  <c r="W65" i="2" s="1"/>
  <c r="X65" i="2" s="1"/>
  <c r="V63" i="2"/>
  <c r="W63" i="2" s="1"/>
  <c r="X63" i="2" s="1"/>
  <c r="V86" i="2"/>
  <c r="W86" i="2" s="1"/>
  <c r="X86" i="2" s="1"/>
  <c r="V84" i="2"/>
  <c r="W84" i="2" s="1"/>
  <c r="X84" i="2" s="1"/>
  <c r="V82" i="2"/>
  <c r="W82" i="2" s="1"/>
  <c r="X82" i="2" s="1"/>
  <c r="V80" i="2"/>
  <c r="W80" i="2" s="1"/>
  <c r="X80" i="2" s="1"/>
  <c r="V78" i="2"/>
  <c r="W78" i="2" s="1"/>
  <c r="X78" i="2" s="1"/>
  <c r="V76" i="2"/>
  <c r="W76" i="2" s="1"/>
  <c r="X76" i="2" s="1"/>
  <c r="V74" i="2"/>
  <c r="W74" i="2" s="1"/>
  <c r="X74" i="2" s="1"/>
  <c r="V72" i="2"/>
  <c r="W72" i="2" s="1"/>
  <c r="X72" i="2" s="1"/>
  <c r="V70" i="2"/>
  <c r="W70" i="2" s="1"/>
  <c r="X70" i="2" s="1"/>
  <c r="V62" i="2"/>
  <c r="W62" i="2" s="1"/>
  <c r="X62" i="2" s="1"/>
  <c r="V68" i="2"/>
  <c r="W68" i="2" s="1"/>
  <c r="X68" i="2" s="1"/>
  <c r="V56" i="2"/>
  <c r="W56" i="2" s="1"/>
  <c r="X56" i="2" s="1"/>
  <c r="V55" i="2"/>
  <c r="W55" i="2" s="1"/>
  <c r="X55" i="2" s="1"/>
  <c r="V52" i="2"/>
  <c r="W52" i="2" s="1"/>
  <c r="X52" i="2" s="1"/>
  <c r="V51" i="2"/>
  <c r="W51" i="2" s="1"/>
  <c r="X51" i="2" s="1"/>
  <c r="V2" i="2"/>
  <c r="V4" i="2"/>
  <c r="W4" i="2" s="1"/>
  <c r="X4" i="2" s="1"/>
  <c r="V5" i="2"/>
  <c r="W5" i="2" s="1"/>
  <c r="X5" i="2" s="1"/>
  <c r="V66" i="2"/>
  <c r="W66" i="2" s="1"/>
  <c r="X66" i="2" s="1"/>
  <c r="V59" i="2"/>
  <c r="W59" i="2" s="1"/>
  <c r="X59" i="2" s="1"/>
  <c r="V64" i="2"/>
  <c r="W64" i="2" s="1"/>
  <c r="X64" i="2" s="1"/>
  <c r="V3" i="2"/>
  <c r="W3" i="2" s="1"/>
  <c r="X3" i="2" s="1"/>
  <c r="V6" i="2"/>
  <c r="W6" i="2" s="1"/>
  <c r="X6" i="2" s="1"/>
  <c r="V40" i="2"/>
  <c r="W40" i="2" s="1"/>
  <c r="X40" i="2" s="1"/>
  <c r="V9" i="2"/>
  <c r="W9" i="2" s="1"/>
  <c r="X9" i="2" s="1"/>
  <c r="V39" i="2"/>
  <c r="W39" i="2" s="1"/>
  <c r="X39" i="2" s="1"/>
  <c r="V50" i="2"/>
  <c r="W50" i="2" s="1"/>
  <c r="X50" i="2" s="1"/>
  <c r="V33" i="2"/>
  <c r="W33" i="2" s="1"/>
  <c r="X33" i="2" s="1"/>
  <c r="V23" i="2"/>
  <c r="W23" i="2" s="1"/>
  <c r="X23" i="2" s="1"/>
  <c r="V45" i="2"/>
  <c r="W45" i="2" s="1"/>
  <c r="X45" i="2" s="1"/>
  <c r="V7" i="2"/>
  <c r="W7" i="2" s="1"/>
  <c r="X7" i="2" s="1"/>
  <c r="V29" i="2"/>
  <c r="W29" i="2" s="1"/>
  <c r="X29" i="2" s="1"/>
  <c r="V48" i="2"/>
  <c r="W48" i="2" s="1"/>
  <c r="X48" i="2" s="1"/>
  <c r="V8" i="2"/>
  <c r="W8" i="2" s="1"/>
  <c r="X8" i="2" s="1"/>
  <c r="V16" i="2"/>
  <c r="W16" i="2" s="1"/>
  <c r="X16" i="2" s="1"/>
  <c r="V12" i="2"/>
  <c r="W12" i="2" s="1"/>
  <c r="X12" i="2" s="1"/>
  <c r="V61" i="2"/>
  <c r="W61" i="2" s="1"/>
  <c r="X61" i="2" s="1"/>
  <c r="V43" i="2"/>
  <c r="W43" i="2" s="1"/>
  <c r="X43" i="2" s="1"/>
  <c r="V57" i="2"/>
  <c r="W57" i="2" s="1"/>
  <c r="X57" i="2" s="1"/>
  <c r="V37" i="2"/>
  <c r="W37" i="2" s="1"/>
  <c r="X37" i="2" s="1"/>
  <c r="V22" i="2"/>
  <c r="W22" i="2" s="1"/>
  <c r="X22" i="2" s="1"/>
  <c r="V26" i="2"/>
  <c r="W26" i="2" s="1"/>
  <c r="X26" i="2" s="1"/>
  <c r="V14" i="2"/>
  <c r="W14" i="2" s="1"/>
  <c r="X14" i="2" s="1"/>
  <c r="V24" i="2"/>
  <c r="W24" i="2" s="1"/>
  <c r="X24" i="2" s="1"/>
  <c r="V47" i="2"/>
  <c r="W47" i="2" s="1"/>
  <c r="X47" i="2" s="1"/>
  <c r="V41" i="2"/>
  <c r="W41" i="2" s="1"/>
  <c r="X41" i="2" s="1"/>
  <c r="V36" i="2"/>
  <c r="W36" i="2" s="1"/>
  <c r="X36" i="2" s="1"/>
  <c r="V53" i="2"/>
  <c r="W53" i="2" s="1"/>
  <c r="X53" i="2" s="1"/>
  <c r="V58" i="2"/>
  <c r="W58" i="2" s="1"/>
  <c r="X58" i="2" s="1"/>
  <c r="V13" i="2"/>
  <c r="W13" i="2" s="1"/>
  <c r="X13" i="2" s="1"/>
  <c r="V15" i="2"/>
  <c r="W15" i="2" s="1"/>
  <c r="X15" i="2" s="1"/>
  <c r="V30" i="2"/>
  <c r="W30" i="2" s="1"/>
  <c r="X30" i="2" s="1"/>
  <c r="V27" i="2"/>
  <c r="W27" i="2" s="1"/>
  <c r="X27" i="2" s="1"/>
  <c r="V17" i="2"/>
  <c r="W17" i="2" s="1"/>
  <c r="X17" i="2" s="1"/>
  <c r="V32" i="2"/>
  <c r="W32" i="2" s="1"/>
  <c r="X32" i="2" s="1"/>
  <c r="V34" i="2"/>
  <c r="W34" i="2" s="1"/>
  <c r="X34" i="2" s="1"/>
  <c r="V49" i="2"/>
  <c r="W49" i="2" s="1"/>
  <c r="X49" i="2" s="1"/>
  <c r="V21" i="2"/>
  <c r="W21" i="2" s="1"/>
  <c r="X21" i="2" s="1"/>
  <c r="V19" i="2"/>
  <c r="W19" i="2" s="1"/>
  <c r="X19" i="2" s="1"/>
  <c r="V54" i="2"/>
  <c r="W54" i="2" s="1"/>
  <c r="X54" i="2" s="1"/>
  <c r="V44" i="2"/>
  <c r="W44" i="2" s="1"/>
  <c r="X44" i="2" s="1"/>
  <c r="V35" i="2"/>
  <c r="W35" i="2" s="1"/>
  <c r="X35" i="2" s="1"/>
  <c r="V46" i="2"/>
  <c r="W46" i="2" s="1"/>
  <c r="X46" i="2" s="1"/>
  <c r="V11" i="2"/>
  <c r="W11" i="2" s="1"/>
  <c r="X11" i="2" s="1"/>
  <c r="V18" i="2"/>
  <c r="W18" i="2" s="1"/>
  <c r="X18" i="2" s="1"/>
  <c r="V10" i="2"/>
  <c r="W10" i="2" s="1"/>
  <c r="X10" i="2" s="1"/>
  <c r="V31" i="2"/>
  <c r="W31" i="2" s="1"/>
  <c r="X31" i="2" s="1"/>
  <c r="V20" i="2"/>
  <c r="W20" i="2" s="1"/>
  <c r="X20" i="2" s="1"/>
  <c r="V38" i="2"/>
  <c r="W38" i="2" s="1"/>
  <c r="X38" i="2" s="1"/>
  <c r="V25" i="2"/>
  <c r="W25" i="2" s="1"/>
  <c r="X25" i="2" s="1"/>
  <c r="V60" i="2"/>
  <c r="W60" i="2" s="1"/>
  <c r="X60" i="2" s="1"/>
  <c r="V42" i="2"/>
  <c r="W42" i="2" s="1"/>
  <c r="X42" i="2" s="1"/>
  <c r="V28" i="2"/>
  <c r="W28" i="2" s="1"/>
  <c r="X28" i="2" s="1"/>
  <c r="AA78" i="2" l="1"/>
  <c r="AA42" i="2"/>
  <c r="AA8" i="2"/>
  <c r="AA49" i="2"/>
  <c r="AA84" i="2"/>
  <c r="AA50" i="2"/>
  <c r="AA66" i="2"/>
  <c r="AA24" i="2"/>
  <c r="AA6" i="2"/>
  <c r="AC91" i="2"/>
  <c r="AA65" i="2"/>
  <c r="W2" i="2"/>
  <c r="X2" i="2" s="1"/>
  <c r="B155" i="2" s="1"/>
  <c r="B146" i="2"/>
  <c r="AA23" i="2"/>
  <c r="AA82" i="2"/>
  <c r="AA43" i="2"/>
  <c r="AA58" i="2"/>
  <c r="AA75" i="2"/>
  <c r="AA5" i="2"/>
  <c r="AA57" i="2"/>
  <c r="AA15" i="2"/>
  <c r="AA56" i="2"/>
  <c r="AA47" i="2"/>
  <c r="AA2" i="2"/>
  <c r="AA39" i="2"/>
  <c r="AA44" i="2"/>
  <c r="AA80" i="2"/>
  <c r="AA64" i="2"/>
  <c r="AA14" i="2"/>
  <c r="AA16" i="2"/>
  <c r="AA83" i="2"/>
  <c r="AA67" i="2"/>
  <c r="AA62" i="2"/>
  <c r="AA26" i="2"/>
  <c r="AA51" i="2"/>
  <c r="AA29" i="2"/>
  <c r="AA60" i="2"/>
  <c r="AA45" i="2"/>
  <c r="AA54" i="2"/>
  <c r="AA73" i="2"/>
  <c r="AA85" i="2"/>
  <c r="AA18" i="2"/>
  <c r="AA74" i="2"/>
  <c r="AA41" i="2"/>
  <c r="AA81" i="2"/>
  <c r="AA21" i="2"/>
  <c r="AA4" i="2"/>
  <c r="AA79" i="2"/>
  <c r="AA20" i="2"/>
  <c r="AA35" i="2"/>
  <c r="AA28" i="2"/>
  <c r="AA71" i="2"/>
  <c r="AA19" i="2"/>
  <c r="AA30" i="2"/>
  <c r="AA3" i="2"/>
  <c r="AA55" i="2"/>
  <c r="AA31" i="2"/>
  <c r="AA52" i="2"/>
  <c r="AA86" i="2"/>
  <c r="AA9" i="2"/>
  <c r="AA37" i="2"/>
  <c r="AA48" i="2"/>
  <c r="AA36" i="2"/>
  <c r="AA25" i="2"/>
  <c r="AA76" i="2"/>
  <c r="AA10" i="2"/>
  <c r="AA32" i="2"/>
  <c r="AA63" i="2"/>
  <c r="AA46" i="2"/>
  <c r="AA61" i="2"/>
  <c r="AA12" i="2"/>
  <c r="AA53" i="2"/>
  <c r="AA13" i="2"/>
  <c r="AA33" i="2"/>
  <c r="AA34" i="2"/>
  <c r="AA77" i="2"/>
  <c r="AA59" i="2"/>
  <c r="AA40" i="2"/>
  <c r="AA68" i="2"/>
  <c r="AA69" i="2"/>
  <c r="AA70" i="2"/>
  <c r="AA22" i="2"/>
  <c r="AA7" i="2"/>
  <c r="AA27" i="2"/>
  <c r="AA17" i="2"/>
  <c r="AA72" i="2"/>
  <c r="AA11" i="2"/>
  <c r="AA38" i="2"/>
  <c r="O92" i="2"/>
  <c r="O93" i="2" s="1"/>
  <c r="O94" i="2" s="1"/>
  <c r="S89" i="2"/>
  <c r="T89" i="2" s="1"/>
  <c r="S90" i="2" s="1"/>
  <c r="S92" i="2" s="1"/>
  <c r="S93" i="2" s="1"/>
  <c r="S94" i="2" s="1"/>
  <c r="Q90" i="2"/>
  <c r="S97" i="2"/>
  <c r="T97" i="2" s="1"/>
  <c r="S99" i="2" s="1"/>
  <c r="S100" i="2" s="1"/>
  <c r="S101" i="2" s="1"/>
  <c r="S102" i="2" s="1"/>
  <c r="C96" i="2" s="1"/>
  <c r="Q99" i="2"/>
  <c r="Q100" i="2" s="1"/>
  <c r="Q101" i="2" s="1"/>
  <c r="Q102" i="2" s="1"/>
  <c r="J151" i="2"/>
  <c r="K151" i="2" s="1"/>
  <c r="M150" i="2"/>
  <c r="N150" i="2" s="1"/>
  <c r="O150" i="2" s="1"/>
  <c r="P150" i="2" s="1"/>
  <c r="Q92" i="2" l="1"/>
  <c r="Q93" i="2" s="1"/>
  <c r="Q94" i="2" s="1"/>
  <c r="B96" i="2" s="1"/>
  <c r="J152" i="2"/>
  <c r="K152" i="2" s="1"/>
  <c r="M151" i="2"/>
  <c r="N151" i="2" s="1"/>
  <c r="O151" i="2" s="1"/>
  <c r="P151" i="2" s="1"/>
  <c r="M152" i="2" l="1"/>
  <c r="N152" i="2" s="1"/>
  <c r="O152" i="2" s="1"/>
  <c r="P152" i="2" s="1"/>
  <c r="J153" i="2"/>
  <c r="K153" i="2" s="1"/>
  <c r="M153" i="2" l="1"/>
  <c r="N153" i="2" s="1"/>
  <c r="O153" i="2" s="1"/>
  <c r="P153" i="2" s="1"/>
  <c r="J154" i="2"/>
  <c r="K154" i="2" s="1"/>
  <c r="M154" i="2" l="1"/>
  <c r="N154" i="2" s="1"/>
  <c r="O154" i="2" s="1"/>
  <c r="P154" i="2" s="1"/>
  <c r="J155" i="2"/>
  <c r="K155" i="2" s="1"/>
  <c r="M155" i="2" l="1"/>
  <c r="N155" i="2" s="1"/>
  <c r="O155" i="2" s="1"/>
  <c r="J156" i="2"/>
  <c r="K156" i="2" s="1"/>
  <c r="J157" i="2" l="1"/>
  <c r="K157" i="2" s="1"/>
  <c r="M157" i="2" s="1"/>
  <c r="N157" i="2" s="1"/>
  <c r="O157" i="2" s="1"/>
  <c r="P157" i="2" s="1"/>
  <c r="M156" i="2"/>
  <c r="N156" i="2" s="1"/>
  <c r="O156" i="2" s="1"/>
  <c r="P156" i="2" s="1"/>
  <c r="Q150" i="2" l="1"/>
</calcChain>
</file>

<file path=xl/sharedStrings.xml><?xml version="1.0" encoding="utf-8"?>
<sst xmlns="http://schemas.openxmlformats.org/spreadsheetml/2006/main" count="265" uniqueCount="242">
  <si>
    <t>Города и субъ­екты РФ</t>
  </si>
  <si>
    <t>Краснодарский край</t>
  </si>
  <si>
    <t>Сахалинская область</t>
  </si>
  <si>
    <t>k</t>
  </si>
  <si>
    <t>n</t>
  </si>
  <si>
    <t>Красноярский край</t>
  </si>
  <si>
    <t>Республика Дагестан</t>
  </si>
  <si>
    <t>Ростовская область</t>
  </si>
  <si>
    <t>Доверительный интервал</t>
  </si>
  <si>
    <t>Севастополь</t>
  </si>
  <si>
    <t>S^2</t>
  </si>
  <si>
    <t>Новосибирская область</t>
  </si>
  <si>
    <t>Тульская область</t>
  </si>
  <si>
    <t>Ставропольский край</t>
  </si>
  <si>
    <t>Алтайский край</t>
  </si>
  <si>
    <t>y</t>
  </si>
  <si>
    <t>x1</t>
  </si>
  <si>
    <t>x2</t>
  </si>
  <si>
    <t>Иркутская область</t>
  </si>
  <si>
    <t>Владимирская область</t>
  </si>
  <si>
    <t>Свердловская область</t>
  </si>
  <si>
    <t>Ивановская область</t>
  </si>
  <si>
    <t>Санкт-Петербург</t>
  </si>
  <si>
    <t>Омская область</t>
  </si>
  <si>
    <t>Воронежская область</t>
  </si>
  <si>
    <t>Еврейская автономная область</t>
  </si>
  <si>
    <t>Республика Крым</t>
  </si>
  <si>
    <t>Нижегородская область</t>
  </si>
  <si>
    <t>Смоленская область</t>
  </si>
  <si>
    <t>Московская область</t>
  </si>
  <si>
    <t>Пермский край</t>
  </si>
  <si>
    <t>Удмуртская Республика</t>
  </si>
  <si>
    <t>Кабардино-Балкарская Республика</t>
  </si>
  <si>
    <t>Мурманская область</t>
  </si>
  <si>
    <t>Вологодская область</t>
  </si>
  <si>
    <t>Республика Бурятия</t>
  </si>
  <si>
    <t>Ханты-Мансийский АО</t>
  </si>
  <si>
    <t>Астраханская область</t>
  </si>
  <si>
    <t>Республика Татарстан</t>
  </si>
  <si>
    <t>Волгоградская область</t>
  </si>
  <si>
    <t>Республика Коми</t>
  </si>
  <si>
    <t>R</t>
  </si>
  <si>
    <t>Ленинградская область</t>
  </si>
  <si>
    <t>Тверская область</t>
  </si>
  <si>
    <t>Костромская область</t>
  </si>
  <si>
    <t>Ульяновская область</t>
  </si>
  <si>
    <t>Кемеровская область</t>
  </si>
  <si>
    <t>Липецкая область</t>
  </si>
  <si>
    <t>Республика Хакасия</t>
  </si>
  <si>
    <t>Курганская область</t>
  </si>
  <si>
    <t>Оренбургская область</t>
  </si>
  <si>
    <t>Москва</t>
  </si>
  <si>
    <t>Самарская область</t>
  </si>
  <si>
    <t>Приморский край</t>
  </si>
  <si>
    <t>Республика Саха</t>
  </si>
  <si>
    <t>Белгородская область</t>
  </si>
  <si>
    <t>Республика Калмыкия</t>
  </si>
  <si>
    <t>Челябинская область</t>
  </si>
  <si>
    <t>Курская область</t>
  </si>
  <si>
    <t>Орловская область</t>
  </si>
  <si>
    <t>Республика Марий Эл</t>
  </si>
  <si>
    <t>Саратовская область</t>
  </si>
  <si>
    <t>Пензенская область</t>
  </si>
  <si>
    <t>Ярославская область</t>
  </si>
  <si>
    <t>Тамбовская область</t>
  </si>
  <si>
    <t>Рязанская область</t>
  </si>
  <si>
    <t>Архангельская область</t>
  </si>
  <si>
    <t>Забайкальский край</t>
  </si>
  <si>
    <t>Республика Северная Осетия — Алания</t>
  </si>
  <si>
    <t>Республика Тыва</t>
  </si>
  <si>
    <t>Республика Ингушетия</t>
  </si>
  <si>
    <t>Магаданская область</t>
  </si>
  <si>
    <t>Кировская область</t>
  </si>
  <si>
    <t>Калужская область</t>
  </si>
  <si>
    <t>Республика Алтай</t>
  </si>
  <si>
    <t>Республика Адыгея</t>
  </si>
  <si>
    <t>Тюменская область</t>
  </si>
  <si>
    <t>Республика Башкортостан</t>
  </si>
  <si>
    <t>Калининградская область</t>
  </si>
  <si>
    <t>Республика Мордовия</t>
  </si>
  <si>
    <t>Камчатский край</t>
  </si>
  <si>
    <t>Чеченская Республика</t>
  </si>
  <si>
    <t>Томская область</t>
  </si>
  <si>
    <t>Амурская область</t>
  </si>
  <si>
    <t>Республика Карелия</t>
  </si>
  <si>
    <t>Ямало-Ненецкий автономный округ</t>
  </si>
  <si>
    <t>Брянская область</t>
  </si>
  <si>
    <t>Чукотский автономный округ</t>
  </si>
  <si>
    <t>Хабаровский край</t>
  </si>
  <si>
    <t>Псковская область</t>
  </si>
  <si>
    <t>Новгородская область</t>
  </si>
  <si>
    <t>Карачаево-Черкесская Республика</t>
  </si>
  <si>
    <t>Ненецкий автономный округ</t>
  </si>
  <si>
    <t>Республика Чувашия</t>
  </si>
  <si>
    <t>x^2</t>
  </si>
  <si>
    <t>X*Y</t>
  </si>
  <si>
    <t>N</t>
  </si>
  <si>
    <t>NX</t>
  </si>
  <si>
    <t>(Yi-a-bXi)^2</t>
  </si>
  <si>
    <t>Xi-Xср</t>
  </si>
  <si>
    <t>(Xi-Xср)^2</t>
  </si>
  <si>
    <t>Yi с крышечкой</t>
  </si>
  <si>
    <t>Ei = Yi-Yi с крышечкой</t>
  </si>
  <si>
    <t>Ei^2</t>
  </si>
  <si>
    <t>Ei-Ei-1</t>
  </si>
  <si>
    <t>(Ei-Ei-1)^2</t>
  </si>
  <si>
    <t>Si^2</t>
  </si>
  <si>
    <t>Si</t>
  </si>
  <si>
    <t>Ri</t>
  </si>
  <si>
    <t>(Yi с крышечкой -A-B*Xi)^2</t>
  </si>
  <si>
    <t>(xi-xср)^2-n(X-x ср)^2</t>
  </si>
  <si>
    <t>n(X-x ср)^2</t>
  </si>
  <si>
    <t>минимальное</t>
  </si>
  <si>
    <t>R2</t>
  </si>
  <si>
    <t>выбросы есть</t>
  </si>
  <si>
    <t>максимальное</t>
  </si>
  <si>
    <t>дисперсия</t>
  </si>
  <si>
    <t>pi</t>
  </si>
  <si>
    <t>выбросов нет</t>
  </si>
  <si>
    <t>среднее</t>
  </si>
  <si>
    <t>ni</t>
  </si>
  <si>
    <t>R1</t>
  </si>
  <si>
    <t>выборочное ско</t>
  </si>
  <si>
    <t>ni*pi</t>
  </si>
  <si>
    <t>ширина интервала</t>
  </si>
  <si>
    <t>кол-во интервалов</t>
  </si>
  <si>
    <t>ХИ^2</t>
  </si>
  <si>
    <t>сумма</t>
  </si>
  <si>
    <t>сумма X^2</t>
  </si>
  <si>
    <t>сумма X*Y</t>
  </si>
  <si>
    <t>среднее x*y</t>
  </si>
  <si>
    <t>(-1)</t>
  </si>
  <si>
    <t>по матрицам</t>
  </si>
  <si>
    <t>*</t>
  </si>
  <si>
    <t>b</t>
  </si>
  <si>
    <t>a</t>
  </si>
  <si>
    <t>МНК</t>
  </si>
  <si>
    <t>Регрессионная статистика</t>
  </si>
  <si>
    <t>а</t>
  </si>
  <si>
    <t>Множественный R</t>
  </si>
  <si>
    <t>R-квадрат</t>
  </si>
  <si>
    <t>Нормированный R-квадрат</t>
  </si>
  <si>
    <t>группы</t>
  </si>
  <si>
    <t>x</t>
  </si>
  <si>
    <t>Стандартная ошибка</t>
  </si>
  <si>
    <t>Наблюдения</t>
  </si>
  <si>
    <t>Дисперсионный анализ</t>
  </si>
  <si>
    <t>df</t>
  </si>
  <si>
    <t>SS</t>
  </si>
  <si>
    <t>MS</t>
  </si>
  <si>
    <t>F</t>
  </si>
  <si>
    <t>Значимость F</t>
  </si>
  <si>
    <t>Регрессия</t>
  </si>
  <si>
    <t>B</t>
  </si>
  <si>
    <t>Остаток</t>
  </si>
  <si>
    <t>A</t>
  </si>
  <si>
    <t>Итого</t>
  </si>
  <si>
    <t>мнк</t>
  </si>
  <si>
    <t>бк</t>
  </si>
  <si>
    <t>Коэффициенты</t>
  </si>
  <si>
    <t>t-статистика</t>
  </si>
  <si>
    <t>P-Значение</t>
  </si>
  <si>
    <t>Нижние 95%</t>
  </si>
  <si>
    <t>Верхние 95%</t>
  </si>
  <si>
    <t>Нижние 95,0%</t>
  </si>
  <si>
    <t>Верхние 95,0%</t>
  </si>
  <si>
    <t>Y-пересечение</t>
  </si>
  <si>
    <t>S</t>
  </si>
  <si>
    <t>S^2_X</t>
  </si>
  <si>
    <t>S_X</t>
  </si>
  <si>
    <t>S_betta</t>
  </si>
  <si>
    <t>S_alpha</t>
  </si>
  <si>
    <t>|B|</t>
  </si>
  <si>
    <t>=&gt;</t>
  </si>
  <si>
    <t>Значения A и B являются значимыми</t>
  </si>
  <si>
    <t>|A|</t>
  </si>
  <si>
    <t>t((1+alpha)/2)</t>
  </si>
  <si>
    <t>t*S_b</t>
  </si>
  <si>
    <t>t*S_a</t>
  </si>
  <si>
    <t>beta</t>
  </si>
  <si>
    <t>alpha</t>
  </si>
  <si>
    <t>D</t>
  </si>
  <si>
    <t>D_1_alpha</t>
  </si>
  <si>
    <t>D_2_alpha</t>
  </si>
  <si>
    <t>E среднее</t>
  </si>
  <si>
    <t>E нач</t>
  </si>
  <si>
    <t>Е кон</t>
  </si>
  <si>
    <t>n теор</t>
  </si>
  <si>
    <t>n*n теор</t>
  </si>
  <si>
    <t>(n-(n*n теор))^2</t>
  </si>
  <si>
    <t>m</t>
  </si>
  <si>
    <t>E min</t>
  </si>
  <si>
    <t>E max</t>
  </si>
  <si>
    <t>deltaE/m</t>
  </si>
  <si>
    <t>R alpha</t>
  </si>
  <si>
    <t>выбросы есть, тк Ralpha&gt;R</t>
  </si>
  <si>
    <t>S^2_Y с крышечкой</t>
  </si>
  <si>
    <t>S_x</t>
  </si>
  <si>
    <t>N*</t>
  </si>
  <si>
    <t>U</t>
  </si>
  <si>
    <t>Обратное значение нормального стандартного распределения</t>
  </si>
  <si>
    <t>Левая граница</t>
  </si>
  <si>
    <t>Y с крышечкой</t>
  </si>
  <si>
    <t>Правая граница</t>
  </si>
  <si>
    <t>Количество больничных коек, единиц
X4</t>
  </si>
  <si>
    <t>/////Население по субъектам</t>
  </si>
  <si>
    <t>Численность пенсионеров</t>
  </si>
  <si>
    <t>% людей пенсионного возраста</t>
  </si>
  <si>
    <t>Потребление алкогольных напитков на душу населения (15+ лет), литр, X</t>
  </si>
  <si>
    <t>% людей пенсионного возраста, Y</t>
  </si>
  <si>
    <t>ХИ^2 крит</t>
  </si>
  <si>
    <t>тк ХИ^2&gt;ХИ^2крит, то распределение нормальное</t>
  </si>
  <si>
    <t>(ni-nipi)^2</t>
  </si>
  <si>
    <t>Теоретические частоты</t>
  </si>
  <si>
    <t>Подвергается нормальному распределению</t>
  </si>
  <si>
    <t>DW=</t>
  </si>
  <si>
    <t>p</t>
  </si>
  <si>
    <t xml:space="preserve"> -&gt;0, =&gt; null</t>
  </si>
  <si>
    <t>X останков</t>
  </si>
  <si>
    <t>Дисперсия останков</t>
  </si>
  <si>
    <t>Стандартное отклонение выборки останков</t>
  </si>
  <si>
    <t>Z score(останки) &lt;=</t>
  </si>
  <si>
    <t>A^2</t>
  </si>
  <si>
    <t>&gt;=0,05 ,</t>
  </si>
  <si>
    <t xml:space="preserve"> =&gt; нет достаточных доказательств, чтобы утверждать, что данные выборки значительно отклоняются от нормальности, поэтому мы не отвергаем нормальность.</t>
  </si>
  <si>
    <t>Останки</t>
  </si>
  <si>
    <t>ВЫВОД ИТОГОВ</t>
  </si>
  <si>
    <t>Толерантный интервал регрессии</t>
  </si>
  <si>
    <t>Уровень доверия</t>
  </si>
  <si>
    <t>Доля "населения" на интервале</t>
  </si>
  <si>
    <t>Размер выборки</t>
  </si>
  <si>
    <t>Выборочное стандартное отклонение</t>
  </si>
  <si>
    <t>Z критическое (0,95)</t>
  </si>
  <si>
    <t>X^2 крит</t>
  </si>
  <si>
    <t>Среднее выборочное</t>
  </si>
  <si>
    <t>Нижняя граница:</t>
  </si>
  <si>
    <t>Верхняя граница:</t>
  </si>
  <si>
    <t>Интервал</t>
  </si>
  <si>
    <t>БК</t>
  </si>
  <si>
    <t>Y1 = a+bx</t>
  </si>
  <si>
    <t>value</t>
  </si>
  <si>
    <t>Выброс ли?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</si>
</sst>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2">
    <numFmt numFmtId="164" formatCode="[=0]&quot;0.00&quot;;0.00"/>
    <numFmt numFmtId="165" formatCode="0.00000000000000000"/>
    <numFmt numFmtId="166" formatCode="0.00000000000000"/>
    <numFmt numFmtId="167" formatCode="[=0]&quot;0.00&quot;;0.00000000000"/>
    <numFmt numFmtId="168" formatCode="[=0]&quot;0.00&quot;;0.00000000"/>
    <numFmt numFmtId="169" formatCode="0.000000000"/>
    <numFmt numFmtId="170" formatCode="[=0]&quot;0.00&quot;;0.000000000"/>
    <numFmt numFmtId="171" formatCode="[=0]&quot;0.00&quot;;0.000000000000000000"/>
    <numFmt numFmtId="172" formatCode="[=0]&quot;0.00&quot;;0.0000000"/>
    <numFmt numFmtId="173" formatCode="0.0000000000"/>
    <numFmt numFmtId="174" formatCode="0.00000"/>
    <numFmt numFmtId="175" formatCode="0.0000"/>
  </numFmts>
  <fonts count="29">
    <font>
      <sz val="10"/>
      <color rgb="FF000000"/>
      <name val="Arial"/>
    </font>
    <font>
      <sz val="11"/>
      <color rgb="FF000000"/>
      <name val="Times New Roman"/>
    </font>
    <font>
      <sz val="11"/>
      <color theme="1"/>
      <name val="Calibri"/>
    </font>
    <font>
      <sz val="10"/>
      <color theme="1"/>
      <name val="Calibri"/>
    </font>
    <font>
      <sz val="10"/>
      <name val="Arial"/>
    </font>
    <font>
      <sz val="11"/>
      <color rgb="FF000000"/>
      <name val="Calibri"/>
    </font>
    <font>
      <sz val="11"/>
      <color rgb="FF1155CC"/>
      <name val="Inconsolata"/>
    </font>
    <font>
      <sz val="8"/>
      <color theme="1"/>
      <name val="Arial"/>
    </font>
    <font>
      <i/>
      <sz val="11"/>
      <color theme="1"/>
      <name val="Calibri"/>
    </font>
    <font>
      <sz val="11"/>
      <color rgb="FF111111"/>
      <name val="Times New Roman"/>
    </font>
    <font>
      <b/>
      <sz val="11"/>
      <color rgb="FF111111"/>
      <name val="Times New Roman"/>
    </font>
    <font>
      <sz val="10"/>
      <color theme="1"/>
      <name val="Times New Roman"/>
      <family val="1"/>
      <charset val="204"/>
    </font>
    <font>
      <sz val="11"/>
      <color rgb="FF000000"/>
      <name val="Times New Roman"/>
      <family val="1"/>
      <charset val="204"/>
    </font>
    <font>
      <sz val="11"/>
      <color theme="1"/>
      <name val="Calibri"/>
      <family val="2"/>
      <charset val="204"/>
    </font>
    <font>
      <sz val="11"/>
      <color rgb="FF20975C"/>
      <name val="Times New Roman"/>
      <family val="1"/>
      <charset val="204"/>
    </font>
    <font>
      <sz val="11"/>
      <color theme="1"/>
      <name val="Arial"/>
      <family val="2"/>
      <charset val="204"/>
    </font>
    <font>
      <sz val="12"/>
      <name val="Inherit"/>
      <charset val="204"/>
    </font>
    <font>
      <sz val="11"/>
      <name val="Arial"/>
      <family val="2"/>
      <charset val="204"/>
    </font>
    <font>
      <sz val="12"/>
      <name val="Trebuchet MS"/>
      <family val="2"/>
      <charset val="204"/>
    </font>
    <font>
      <b/>
      <sz val="11"/>
      <color rgb="FF20975C"/>
      <name val="Times New Roman"/>
      <family val="1"/>
      <charset val="204"/>
    </font>
    <font>
      <sz val="10"/>
      <name val="Arial"/>
      <family val="2"/>
      <charset val="204"/>
    </font>
    <font>
      <sz val="10"/>
      <color rgb="FF000000"/>
      <name val="Arial"/>
      <family val="2"/>
      <charset val="204"/>
    </font>
    <font>
      <sz val="11"/>
      <color rgb="FF99000B"/>
      <name val="Times New Roman"/>
      <family val="1"/>
      <charset val="204"/>
    </font>
    <font>
      <b/>
      <sz val="11"/>
      <color rgb="FF99000B"/>
      <name val="Times New Roman"/>
      <family val="1"/>
      <charset val="204"/>
    </font>
    <font>
      <sz val="10"/>
      <color theme="1"/>
      <name val="Calibri"/>
      <family val="2"/>
      <charset val="204"/>
    </font>
    <font>
      <sz val="11"/>
      <color rgb="FF006100"/>
      <name val="Calibri"/>
      <family val="2"/>
      <charset val="204"/>
      <scheme val="minor"/>
    </font>
    <font>
      <sz val="11"/>
      <color rgb="FF9C0006"/>
      <name val="Calibri"/>
      <family val="2"/>
      <charset val="204"/>
      <scheme val="minor"/>
    </font>
    <font>
      <sz val="11"/>
      <color rgb="FF9C5700"/>
      <name val="Calibri"/>
      <family val="2"/>
      <charset val="204"/>
      <scheme val="minor"/>
    </font>
    <font>
      <i/>
      <sz val="10"/>
      <color rgb="FF000000"/>
      <name val="Arial"/>
      <family val="2"/>
      <charset val="204"/>
    </font>
  </fonts>
  <fills count="47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E6B8AF"/>
        <bgColor rgb="FFE6B8AF"/>
      </patternFill>
    </fill>
    <fill>
      <patternFill patternType="solid">
        <fgColor rgb="FFC27BA0"/>
        <bgColor rgb="FFC27BA0"/>
      </patternFill>
    </fill>
    <fill>
      <patternFill patternType="solid">
        <fgColor rgb="FF93C47D"/>
        <bgColor rgb="FF93C47D"/>
      </patternFill>
    </fill>
    <fill>
      <patternFill patternType="solid">
        <fgColor rgb="FFFFD966"/>
        <bgColor rgb="FFFFD966"/>
      </patternFill>
    </fill>
    <fill>
      <patternFill patternType="solid">
        <fgColor rgb="FFEAD1DC"/>
        <bgColor rgb="FFEAD1DC"/>
      </patternFill>
    </fill>
    <fill>
      <patternFill patternType="solid">
        <fgColor rgb="FFD9EAD3"/>
        <bgColor rgb="FFD9EAD3"/>
      </patternFill>
    </fill>
    <fill>
      <patternFill patternType="solid">
        <fgColor rgb="FFF4CCCC"/>
        <bgColor rgb="FFF4CCCC"/>
      </patternFill>
    </fill>
    <fill>
      <patternFill patternType="solid">
        <fgColor rgb="FFFFF2CC"/>
        <bgColor rgb="FFFFF2CC"/>
      </patternFill>
    </fill>
    <fill>
      <patternFill patternType="solid">
        <fgColor rgb="FFA4C2F4"/>
        <bgColor rgb="FFA4C2F4"/>
      </patternFill>
    </fill>
    <fill>
      <patternFill patternType="solid">
        <fgColor rgb="FFEFEFEF"/>
        <bgColor rgb="FFEFEFEF"/>
      </patternFill>
    </fill>
    <fill>
      <patternFill patternType="solid">
        <fgColor rgb="FFB6D7A8"/>
        <bgColor rgb="FFB6D7A8"/>
      </patternFill>
    </fill>
    <fill>
      <patternFill patternType="solid">
        <fgColor rgb="FFCFE2F3"/>
        <bgColor rgb="FFCFE2F3"/>
      </patternFill>
    </fill>
    <fill>
      <patternFill patternType="solid">
        <fgColor rgb="FFB7B7B7"/>
        <bgColor rgb="FFB7B7B7"/>
      </patternFill>
    </fill>
    <fill>
      <patternFill patternType="solid">
        <fgColor rgb="FFF6B26B"/>
        <bgColor rgb="FFF6B26B"/>
      </patternFill>
    </fill>
    <fill>
      <patternFill patternType="solid">
        <fgColor rgb="FFFCE5CD"/>
        <bgColor rgb="FFFCE5CD"/>
      </patternFill>
    </fill>
    <fill>
      <patternFill patternType="solid">
        <fgColor rgb="FFD0E0E3"/>
        <bgColor rgb="FFD0E0E3"/>
      </patternFill>
    </fill>
    <fill>
      <patternFill patternType="solid">
        <fgColor rgb="FFC9DAF8"/>
        <bgColor rgb="FFC9DAF8"/>
      </patternFill>
    </fill>
    <fill>
      <patternFill patternType="solid">
        <fgColor rgb="FF6D9EEB"/>
        <bgColor rgb="FF6D9EEB"/>
      </patternFill>
    </fill>
    <fill>
      <patternFill patternType="solid">
        <fgColor rgb="FFB4A7D6"/>
        <bgColor rgb="FFB4A7D6"/>
      </patternFill>
    </fill>
    <fill>
      <patternFill patternType="solid">
        <fgColor rgb="FFEA9999"/>
        <bgColor rgb="FFEA9999"/>
      </patternFill>
    </fill>
    <fill>
      <patternFill patternType="solid">
        <fgColor rgb="FFD9D2E9"/>
        <bgColor rgb="FFD9D2E9"/>
      </patternFill>
    </fill>
    <fill>
      <patternFill patternType="solid">
        <fgColor rgb="FF3C78D8"/>
        <bgColor rgb="FF3C78D8"/>
      </patternFill>
    </fill>
    <fill>
      <patternFill patternType="solid">
        <fgColor rgb="FFCCCCCC"/>
        <bgColor rgb="FFCCCCCC"/>
      </patternFill>
    </fill>
    <fill>
      <patternFill patternType="solid">
        <fgColor rgb="FFD5A6BD"/>
        <bgColor rgb="FFD5A6BD"/>
      </patternFill>
    </fill>
    <fill>
      <patternFill patternType="solid">
        <fgColor rgb="FFDD7E6B"/>
        <bgColor rgb="FFDD7E6B"/>
      </patternFill>
    </fill>
    <fill>
      <patternFill patternType="solid">
        <fgColor rgb="FFF3F3F3"/>
        <bgColor rgb="FFF3F3F3"/>
      </patternFill>
    </fill>
    <fill>
      <patternFill patternType="solid">
        <fgColor rgb="FFFF9900"/>
        <bgColor rgb="FFFF9900"/>
      </patternFill>
    </fill>
    <fill>
      <patternFill patternType="solid">
        <fgColor rgb="FF9FC5E8"/>
        <bgColor rgb="FF9FC5E8"/>
      </patternFill>
    </fill>
    <fill>
      <patternFill patternType="solid">
        <fgColor rgb="FFFFE599"/>
        <bgColor rgb="FFFFE599"/>
      </patternFill>
    </fill>
    <fill>
      <patternFill patternType="solid">
        <fgColor rgb="FF6FA8DC"/>
        <bgColor rgb="FF6FA8DC"/>
      </patternFill>
    </fill>
    <fill>
      <patternFill patternType="solid">
        <fgColor rgb="FF76A5AF"/>
        <bgColor rgb="FF76A5AF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FF0000"/>
      </patternFill>
    </fill>
    <fill>
      <patternFill patternType="solid">
        <fgColor rgb="FFD9D9D9"/>
        <bgColor rgb="FFD9D9D9"/>
      </patternFill>
    </fill>
    <fill>
      <patternFill patternType="solid">
        <fgColor rgb="FF00B050"/>
        <bgColor rgb="FF00B050"/>
      </patternFill>
    </fill>
    <fill>
      <patternFill patternType="solid">
        <fgColor rgb="FFA2C4C9"/>
        <bgColor rgb="FFA2C4C9"/>
      </patternFill>
    </fill>
    <fill>
      <patternFill patternType="solid">
        <fgColor rgb="FF6AA84F"/>
        <bgColor rgb="FF6AA84F"/>
      </patternFill>
    </fill>
    <fill>
      <patternFill patternType="solid">
        <fgColor rgb="FFA8D08D"/>
        <bgColor rgb="FFA8D08D"/>
      </patternFill>
    </fill>
    <fill>
      <patternFill patternType="solid">
        <fgColor rgb="FF1155CC"/>
        <bgColor rgb="FF1155CC"/>
      </patternFill>
    </fill>
    <fill>
      <patternFill patternType="solid">
        <fgColor rgb="FF1C4587"/>
        <bgColor rgb="FF1C4587"/>
      </patternFill>
    </fill>
    <fill>
      <patternFill patternType="solid">
        <fgColor theme="0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</fills>
  <borders count="31">
    <border>
      <left/>
      <right/>
      <top/>
      <bottom/>
      <diagonal/>
    </border>
    <border>
      <left/>
      <right style="thin">
        <color rgb="FFBBBBBB"/>
      </right>
      <top style="thin">
        <color rgb="FFBBBBBB"/>
      </top>
      <bottom style="thin">
        <color rgb="FFBBBBBB"/>
      </bottom>
      <diagonal/>
    </border>
    <border>
      <left/>
      <right style="thin">
        <color rgb="FFBBBBBB"/>
      </right>
      <top/>
      <bottom style="thin">
        <color rgb="FFBBBBBB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BFBFBF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BBBBBB"/>
      </left>
      <right style="thin">
        <color rgb="FFBBBBBB"/>
      </right>
      <top/>
      <bottom style="thin">
        <color rgb="FFBBBBBB"/>
      </bottom>
      <diagonal/>
    </border>
    <border>
      <left style="thin">
        <color rgb="FFBBBBBB"/>
      </left>
      <right style="thin">
        <color rgb="FFBBBBBB"/>
      </right>
      <top style="thin">
        <color rgb="FFBBBBBB"/>
      </top>
      <bottom style="thin">
        <color rgb="FFBBBBBB"/>
      </bottom>
      <diagonal/>
    </border>
    <border>
      <left style="medium">
        <color rgb="FF4F4F4C"/>
      </left>
      <right style="medium">
        <color rgb="FF4F4F4C"/>
      </right>
      <top style="medium">
        <color rgb="FF4F4F4C"/>
      </top>
      <bottom style="medium">
        <color rgb="FF4F4F4C"/>
      </bottom>
      <diagonal/>
    </border>
    <border>
      <left/>
      <right/>
      <top/>
      <bottom style="medium">
        <color rgb="FF4F4F4C"/>
      </bottom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</borders>
  <cellStyleXfs count="5">
    <xf numFmtId="0" fontId="0" fillId="0" borderId="0"/>
    <xf numFmtId="0" fontId="21" fillId="0" borderId="24"/>
    <xf numFmtId="0" fontId="25" fillId="44" borderId="0" applyNumberFormat="0" applyBorder="0" applyAlignment="0" applyProtection="0"/>
    <xf numFmtId="0" fontId="26" fillId="45" borderId="0" applyNumberFormat="0" applyBorder="0" applyAlignment="0" applyProtection="0"/>
    <xf numFmtId="0" fontId="27" fillId="46" borderId="0" applyNumberFormat="0" applyBorder="0" applyAlignment="0" applyProtection="0"/>
  </cellStyleXfs>
  <cellXfs count="212">
    <xf numFmtId="0" fontId="0" fillId="0" borderId="0" xfId="0"/>
    <xf numFmtId="0" fontId="1" fillId="2" borderId="0" xfId="0" applyFont="1" applyFill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3" fillId="31" borderId="8" xfId="0" applyFont="1" applyFill="1" applyBorder="1" applyAlignment="1">
      <alignment horizontal="center" vertical="center"/>
    </xf>
    <xf numFmtId="0" fontId="3" fillId="21" borderId="3" xfId="0" applyFont="1" applyFill="1" applyBorder="1" applyAlignment="1">
      <alignment horizontal="center" vertical="center"/>
    </xf>
    <xf numFmtId="0" fontId="3" fillId="22" borderId="3" xfId="0" applyFont="1" applyFill="1" applyBorder="1" applyAlignment="1">
      <alignment horizontal="center" vertical="center"/>
    </xf>
    <xf numFmtId="0" fontId="3" fillId="32" borderId="3" xfId="0" applyFont="1" applyFill="1" applyBorder="1" applyAlignment="1">
      <alignment horizontal="center" vertical="center" wrapText="1"/>
    </xf>
    <xf numFmtId="0" fontId="3" fillId="4" borderId="3" xfId="0" applyFont="1" applyFill="1" applyBorder="1" applyAlignment="1">
      <alignment horizontal="center" vertical="center" wrapText="1"/>
    </xf>
    <xf numFmtId="0" fontId="3" fillId="16" borderId="3" xfId="0" applyFont="1" applyFill="1" applyBorder="1" applyAlignment="1">
      <alignment horizontal="center" vertical="center"/>
    </xf>
    <xf numFmtId="0" fontId="3" fillId="5" borderId="3" xfId="0" applyFont="1" applyFill="1" applyBorder="1" applyAlignment="1">
      <alignment horizontal="center" vertical="center"/>
    </xf>
    <xf numFmtId="0" fontId="3" fillId="27" borderId="3" xfId="0" applyFont="1" applyFill="1" applyBorder="1" applyAlignment="1">
      <alignment horizontal="center" vertical="center"/>
    </xf>
    <xf numFmtId="0" fontId="3" fillId="33" borderId="3" xfId="0" applyFont="1" applyFill="1" applyBorder="1" applyAlignment="1">
      <alignment horizontal="center" vertical="center" wrapText="1"/>
    </xf>
    <xf numFmtId="0" fontId="3" fillId="6" borderId="3" xfId="0" applyFont="1" applyFill="1" applyBorder="1" applyAlignment="1">
      <alignment horizontal="center" vertical="center" wrapText="1"/>
    </xf>
    <xf numFmtId="0" fontId="3" fillId="6" borderId="3" xfId="0" applyFont="1" applyFill="1" applyBorder="1" applyAlignment="1">
      <alignment horizontal="center" vertical="center"/>
    </xf>
    <xf numFmtId="0" fontId="3" fillId="34" borderId="0" xfId="0" applyFont="1" applyFill="1" applyAlignment="1">
      <alignment horizontal="center" vertical="center"/>
    </xf>
    <xf numFmtId="164" fontId="2" fillId="10" borderId="3" xfId="0" applyNumberFormat="1" applyFont="1" applyFill="1" applyBorder="1" applyAlignment="1">
      <alignment horizontal="center" vertical="center"/>
    </xf>
    <xf numFmtId="0" fontId="3" fillId="10" borderId="8" xfId="0" applyFont="1" applyFill="1" applyBorder="1" applyAlignment="1">
      <alignment horizontal="center" vertical="center"/>
    </xf>
    <xf numFmtId="0" fontId="3" fillId="23" borderId="3" xfId="0" applyFont="1" applyFill="1" applyBorder="1" applyAlignment="1">
      <alignment horizontal="center" vertical="center"/>
    </xf>
    <xf numFmtId="0" fontId="3" fillId="9" borderId="3" xfId="0" applyFont="1" applyFill="1" applyBorder="1" applyAlignment="1">
      <alignment horizontal="center" vertical="center"/>
    </xf>
    <xf numFmtId="164" fontId="2" fillId="9" borderId="3" xfId="0" applyNumberFormat="1" applyFont="1" applyFill="1" applyBorder="1" applyAlignment="1">
      <alignment horizontal="center" vertical="center"/>
    </xf>
    <xf numFmtId="164" fontId="3" fillId="14" borderId="3" xfId="0" applyNumberFormat="1" applyFont="1" applyFill="1" applyBorder="1" applyAlignment="1">
      <alignment horizontal="center" vertical="center"/>
    </xf>
    <xf numFmtId="0" fontId="3" fillId="17" borderId="3" xfId="0" applyFont="1" applyFill="1" applyBorder="1" applyAlignment="1">
      <alignment horizontal="center" vertical="center"/>
    </xf>
    <xf numFmtId="164" fontId="2" fillId="8" borderId="3" xfId="0" applyNumberFormat="1" applyFont="1" applyFill="1" applyBorder="1" applyAlignment="1">
      <alignment horizontal="center" vertical="center"/>
    </xf>
    <xf numFmtId="0" fontId="3" fillId="8" borderId="3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3" fillId="3" borderId="3" xfId="0" applyFont="1" applyFill="1" applyBorder="1" applyAlignment="1">
      <alignment horizontal="center" vertical="center"/>
    </xf>
    <xf numFmtId="165" fontId="2" fillId="18" borderId="3" xfId="0" applyNumberFormat="1" applyFont="1" applyFill="1" applyBorder="1" applyAlignment="1">
      <alignment horizontal="center" vertical="center"/>
    </xf>
    <xf numFmtId="0" fontId="3" fillId="10" borderId="3" xfId="0" applyFont="1" applyFill="1" applyBorder="1" applyAlignment="1">
      <alignment horizontal="center" vertical="center"/>
    </xf>
    <xf numFmtId="0" fontId="3" fillId="29" borderId="0" xfId="0" applyFont="1" applyFill="1" applyAlignment="1">
      <alignment horizontal="center" vertical="center"/>
    </xf>
    <xf numFmtId="0" fontId="6" fillId="35" borderId="0" xfId="0" applyFont="1" applyFill="1" applyAlignment="1">
      <alignment horizontal="center" vertical="center"/>
    </xf>
    <xf numFmtId="0" fontId="3" fillId="35" borderId="0" xfId="0" applyFont="1" applyFill="1" applyAlignment="1">
      <alignment horizontal="center" vertical="center"/>
    </xf>
    <xf numFmtId="0" fontId="7" fillId="0" borderId="14" xfId="0" applyFont="1" applyBorder="1" applyAlignment="1">
      <alignment horizontal="center" vertical="center" wrapText="1"/>
    </xf>
    <xf numFmtId="164" fontId="7" fillId="0" borderId="0" xfId="0" applyNumberFormat="1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2" fontId="2" fillId="0" borderId="0" xfId="0" applyNumberFormat="1" applyFont="1" applyAlignment="1">
      <alignment horizontal="center" vertical="center"/>
    </xf>
    <xf numFmtId="165" fontId="2" fillId="0" borderId="0" xfId="0" applyNumberFormat="1" applyFont="1" applyAlignment="1">
      <alignment horizontal="center" vertical="center"/>
    </xf>
    <xf numFmtId="0" fontId="3" fillId="11" borderId="3" xfId="0" applyFont="1" applyFill="1" applyBorder="1" applyAlignment="1">
      <alignment horizontal="center" vertical="center"/>
    </xf>
    <xf numFmtId="166" fontId="3" fillId="14" borderId="5" xfId="0" applyNumberFormat="1" applyFont="1" applyFill="1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3" fillId="28" borderId="8" xfId="0" applyFont="1" applyFill="1" applyBorder="1" applyAlignment="1">
      <alignment horizontal="center" vertical="center" wrapText="1"/>
    </xf>
    <xf numFmtId="0" fontId="3" fillId="28" borderId="3" xfId="0" applyFont="1" applyFill="1" applyBorder="1" applyAlignment="1">
      <alignment horizontal="center" vertical="center" wrapText="1"/>
    </xf>
    <xf numFmtId="2" fontId="2" fillId="28" borderId="3" xfId="0" applyNumberFormat="1" applyFont="1" applyFill="1" applyBorder="1" applyAlignment="1">
      <alignment horizontal="center" vertical="center" wrapText="1"/>
    </xf>
    <xf numFmtId="2" fontId="3" fillId="28" borderId="3" xfId="0" applyNumberFormat="1" applyFont="1" applyFill="1" applyBorder="1" applyAlignment="1">
      <alignment horizontal="center" vertical="center" wrapText="1"/>
    </xf>
    <xf numFmtId="0" fontId="3" fillId="14" borderId="5" xfId="0" applyFont="1" applyFill="1" applyBorder="1" applyAlignment="1">
      <alignment horizontal="center" vertical="center"/>
    </xf>
    <xf numFmtId="0" fontId="3" fillId="13" borderId="5" xfId="0" applyFont="1" applyFill="1" applyBorder="1" applyAlignment="1">
      <alignment horizontal="center" vertical="center"/>
    </xf>
    <xf numFmtId="164" fontId="2" fillId="12" borderId="8" xfId="0" applyNumberFormat="1" applyFont="1" applyFill="1" applyBorder="1" applyAlignment="1">
      <alignment horizontal="center" vertical="center"/>
    </xf>
    <xf numFmtId="164" fontId="2" fillId="12" borderId="3" xfId="0" applyNumberFormat="1" applyFont="1" applyFill="1" applyBorder="1" applyAlignment="1">
      <alignment horizontal="center" vertical="center"/>
    </xf>
    <xf numFmtId="0" fontId="3" fillId="25" borderId="5" xfId="0" applyFont="1" applyFill="1" applyBorder="1" applyAlignment="1">
      <alignment horizontal="center" vertical="center"/>
    </xf>
    <xf numFmtId="164" fontId="2" fillId="19" borderId="3" xfId="0" applyNumberFormat="1" applyFont="1" applyFill="1" applyBorder="1" applyAlignment="1">
      <alignment horizontal="center" vertical="center"/>
    </xf>
    <xf numFmtId="0" fontId="3" fillId="19" borderId="3" xfId="0" applyFont="1" applyFill="1" applyBorder="1" applyAlignment="1">
      <alignment horizontal="center" vertical="center"/>
    </xf>
    <xf numFmtId="0" fontId="3" fillId="6" borderId="5" xfId="0" applyFont="1" applyFill="1" applyBorder="1" applyAlignment="1">
      <alignment horizontal="center" vertical="center"/>
    </xf>
    <xf numFmtId="0" fontId="2" fillId="10" borderId="3" xfId="0" applyFont="1" applyFill="1" applyBorder="1" applyAlignment="1">
      <alignment horizontal="center" vertical="center"/>
    </xf>
    <xf numFmtId="0" fontId="2" fillId="8" borderId="3" xfId="0" applyFont="1" applyFill="1" applyBorder="1" applyAlignment="1">
      <alignment horizontal="center" vertical="center"/>
    </xf>
    <xf numFmtId="169" fontId="2" fillId="0" borderId="0" xfId="0" applyNumberFormat="1" applyFont="1" applyAlignment="1">
      <alignment horizontal="center" vertical="center"/>
    </xf>
    <xf numFmtId="169" fontId="2" fillId="8" borderId="3" xfId="0" applyNumberFormat="1" applyFont="1" applyFill="1" applyBorder="1" applyAlignment="1">
      <alignment horizontal="center" vertical="center"/>
    </xf>
    <xf numFmtId="0" fontId="3" fillId="32" borderId="3" xfId="0" applyFont="1" applyFill="1" applyBorder="1" applyAlignment="1">
      <alignment horizontal="center" vertical="center"/>
    </xf>
    <xf numFmtId="0" fontId="2" fillId="19" borderId="3" xfId="0" applyFont="1" applyFill="1" applyBorder="1" applyAlignment="1">
      <alignment horizontal="center" vertical="center"/>
    </xf>
    <xf numFmtId="0" fontId="3" fillId="38" borderId="3" xfId="0" applyFont="1" applyFill="1" applyBorder="1" applyAlignment="1">
      <alignment horizontal="center" vertical="center"/>
    </xf>
    <xf numFmtId="0" fontId="3" fillId="14" borderId="3" xfId="0" applyFont="1" applyFill="1" applyBorder="1" applyAlignment="1">
      <alignment horizontal="center" vertical="center"/>
    </xf>
    <xf numFmtId="164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2" fillId="15" borderId="3" xfId="0" applyFont="1" applyFill="1" applyBorder="1" applyAlignment="1">
      <alignment horizontal="center" vertical="center" wrapText="1"/>
    </xf>
    <xf numFmtId="0" fontId="2" fillId="29" borderId="3" xfId="0" applyFont="1" applyFill="1" applyBorder="1" applyAlignment="1">
      <alignment horizontal="center" vertical="center" wrapText="1"/>
    </xf>
    <xf numFmtId="0" fontId="3" fillId="30" borderId="3" xfId="0" applyFont="1" applyFill="1" applyBorder="1" applyAlignment="1">
      <alignment horizontal="center" vertical="center" wrapText="1"/>
    </xf>
    <xf numFmtId="0" fontId="8" fillId="15" borderId="3" xfId="0" applyFont="1" applyFill="1" applyBorder="1" applyAlignment="1">
      <alignment horizontal="center" vertical="center" wrapText="1"/>
    </xf>
    <xf numFmtId="0" fontId="2" fillId="13" borderId="3" xfId="0" applyFont="1" applyFill="1" applyBorder="1" applyAlignment="1">
      <alignment horizontal="center" vertical="center" wrapText="1"/>
    </xf>
    <xf numFmtId="0" fontId="3" fillId="26" borderId="3" xfId="0" applyFont="1" applyFill="1" applyBorder="1" applyAlignment="1">
      <alignment horizontal="center" vertical="center"/>
    </xf>
    <xf numFmtId="0" fontId="3" fillId="7" borderId="3" xfId="0" applyFont="1" applyFill="1" applyBorder="1" applyAlignment="1">
      <alignment horizontal="center" vertical="center"/>
    </xf>
    <xf numFmtId="164" fontId="3" fillId="7" borderId="3" xfId="0" applyNumberFormat="1" applyFont="1" applyFill="1" applyBorder="1" applyAlignment="1">
      <alignment horizontal="center" vertical="center"/>
    </xf>
    <xf numFmtId="0" fontId="3" fillId="33" borderId="3" xfId="0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 wrapText="1"/>
    </xf>
    <xf numFmtId="0" fontId="8" fillId="25" borderId="3" xfId="0" applyFont="1" applyFill="1" applyBorder="1" applyAlignment="1">
      <alignment horizontal="center" vertical="center" wrapText="1"/>
    </xf>
    <xf numFmtId="164" fontId="2" fillId="18" borderId="3" xfId="0" applyNumberFormat="1" applyFont="1" applyFill="1" applyBorder="1" applyAlignment="1">
      <alignment horizontal="center" vertical="center"/>
    </xf>
    <xf numFmtId="164" fontId="3" fillId="23" borderId="3" xfId="0" applyNumberFormat="1" applyFont="1" applyFill="1" applyBorder="1" applyAlignment="1">
      <alignment horizontal="center" vertical="center"/>
    </xf>
    <xf numFmtId="0" fontId="2" fillId="25" borderId="3" xfId="0" applyFont="1" applyFill="1" applyBorder="1" applyAlignment="1">
      <alignment horizontal="center" vertical="center" wrapText="1"/>
    </xf>
    <xf numFmtId="0" fontId="2" fillId="22" borderId="3" xfId="0" applyFont="1" applyFill="1" applyBorder="1" applyAlignment="1">
      <alignment horizontal="center" vertical="center" wrapText="1"/>
    </xf>
    <xf numFmtId="0" fontId="3" fillId="18" borderId="3" xfId="0" applyFont="1" applyFill="1" applyBorder="1" applyAlignment="1">
      <alignment horizontal="center" vertical="center"/>
    </xf>
    <xf numFmtId="0" fontId="3" fillId="15" borderId="3" xfId="0" applyFont="1" applyFill="1" applyBorder="1" applyAlignment="1">
      <alignment horizontal="center" vertical="center"/>
    </xf>
    <xf numFmtId="0" fontId="3" fillId="29" borderId="3" xfId="0" applyFont="1" applyFill="1" applyBorder="1" applyAlignment="1">
      <alignment horizontal="center" vertical="center"/>
    </xf>
    <xf numFmtId="0" fontId="3" fillId="31" borderId="3" xfId="0" applyFont="1" applyFill="1" applyBorder="1" applyAlignment="1">
      <alignment horizontal="center" vertical="center"/>
    </xf>
    <xf numFmtId="0" fontId="3" fillId="18" borderId="8" xfId="0" applyFont="1" applyFill="1" applyBorder="1" applyAlignment="1">
      <alignment horizontal="center" vertical="center"/>
    </xf>
    <xf numFmtId="0" fontId="2" fillId="8" borderId="8" xfId="0" applyFont="1" applyFill="1" applyBorder="1" applyAlignment="1">
      <alignment horizontal="center" vertical="center"/>
    </xf>
    <xf numFmtId="167" fontId="3" fillId="18" borderId="13" xfId="0" applyNumberFormat="1" applyFont="1" applyFill="1" applyBorder="1" applyAlignment="1">
      <alignment horizontal="center" vertical="center"/>
    </xf>
    <xf numFmtId="0" fontId="2" fillId="8" borderId="13" xfId="0" applyFont="1" applyFill="1" applyBorder="1" applyAlignment="1">
      <alignment horizontal="center" vertical="center"/>
    </xf>
    <xf numFmtId="170" fontId="3" fillId="18" borderId="13" xfId="0" applyNumberFormat="1" applyFont="1" applyFill="1" applyBorder="1" applyAlignment="1">
      <alignment horizontal="center" vertical="center"/>
    </xf>
    <xf numFmtId="164" fontId="2" fillId="17" borderId="3" xfId="0" applyNumberFormat="1" applyFont="1" applyFill="1" applyBorder="1" applyAlignment="1">
      <alignment horizontal="center" vertical="center"/>
    </xf>
    <xf numFmtId="0" fontId="2" fillId="11" borderId="8" xfId="0" applyFont="1" applyFill="1" applyBorder="1" applyAlignment="1">
      <alignment horizontal="center" vertical="center"/>
    </xf>
    <xf numFmtId="0" fontId="2" fillId="11" borderId="3" xfId="0" applyFont="1" applyFill="1" applyBorder="1" applyAlignment="1">
      <alignment horizontal="center" vertical="center"/>
    </xf>
    <xf numFmtId="171" fontId="2" fillId="17" borderId="3" xfId="0" applyNumberFormat="1" applyFont="1" applyFill="1" applyBorder="1" applyAlignment="1">
      <alignment horizontal="center" vertical="center"/>
    </xf>
    <xf numFmtId="164" fontId="2" fillId="23" borderId="10" xfId="0" applyNumberFormat="1" applyFont="1" applyFill="1" applyBorder="1" applyAlignment="1">
      <alignment horizontal="center" vertical="center"/>
    </xf>
    <xf numFmtId="164" fontId="2" fillId="23" borderId="8" xfId="0" applyNumberFormat="1" applyFont="1" applyFill="1" applyBorder="1" applyAlignment="1">
      <alignment horizontal="center" vertical="center"/>
    </xf>
    <xf numFmtId="0" fontId="3" fillId="23" borderId="8" xfId="0" applyFont="1" applyFill="1" applyBorder="1" applyAlignment="1">
      <alignment horizontal="center" vertical="center"/>
    </xf>
    <xf numFmtId="172" fontId="2" fillId="23" borderId="8" xfId="0" applyNumberFormat="1" applyFont="1" applyFill="1" applyBorder="1" applyAlignment="1">
      <alignment horizontal="center" vertical="center"/>
    </xf>
    <xf numFmtId="164" fontId="2" fillId="23" borderId="9" xfId="0" applyNumberFormat="1" applyFont="1" applyFill="1" applyBorder="1" applyAlignment="1">
      <alignment horizontal="center" vertical="center"/>
    </xf>
    <xf numFmtId="164" fontId="2" fillId="23" borderId="19" xfId="0" applyNumberFormat="1" applyFont="1" applyFill="1" applyBorder="1" applyAlignment="1">
      <alignment horizontal="center" vertical="center"/>
    </xf>
    <xf numFmtId="0" fontId="3" fillId="23" borderId="19" xfId="0" applyFont="1" applyFill="1" applyBorder="1" applyAlignment="1">
      <alignment horizontal="center" vertical="center"/>
    </xf>
    <xf numFmtId="172" fontId="2" fillId="23" borderId="19" xfId="0" applyNumberFormat="1" applyFont="1" applyFill="1" applyBorder="1" applyAlignment="1">
      <alignment horizontal="center" vertical="center"/>
    </xf>
    <xf numFmtId="0" fontId="3" fillId="23" borderId="9" xfId="0" applyFont="1" applyFill="1" applyBorder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30" borderId="3" xfId="0" applyFont="1" applyFill="1" applyBorder="1" applyAlignment="1">
      <alignment horizontal="center" vertical="center"/>
    </xf>
    <xf numFmtId="164" fontId="2" fillId="23" borderId="15" xfId="0" applyNumberFormat="1" applyFont="1" applyFill="1" applyBorder="1" applyAlignment="1">
      <alignment horizontal="center" vertical="center"/>
    </xf>
    <xf numFmtId="164" fontId="2" fillId="23" borderId="13" xfId="0" applyNumberFormat="1" applyFont="1" applyFill="1" applyBorder="1" applyAlignment="1">
      <alignment horizontal="center" vertical="center"/>
    </xf>
    <xf numFmtId="0" fontId="3" fillId="23" borderId="13" xfId="0" applyFont="1" applyFill="1" applyBorder="1" applyAlignment="1">
      <alignment horizontal="center" vertical="center"/>
    </xf>
    <xf numFmtId="172" fontId="2" fillId="23" borderId="13" xfId="0" applyNumberFormat="1" applyFont="1" applyFill="1" applyBorder="1" applyAlignment="1">
      <alignment horizontal="center" vertical="center"/>
    </xf>
    <xf numFmtId="0" fontId="3" fillId="23" borderId="15" xfId="0" applyFont="1" applyFill="1" applyBorder="1" applyAlignment="1">
      <alignment horizontal="center" vertical="center"/>
    </xf>
    <xf numFmtId="0" fontId="3" fillId="13" borderId="3" xfId="0" applyFont="1" applyFill="1" applyBorder="1" applyAlignment="1">
      <alignment horizontal="center" vertical="center"/>
    </xf>
    <xf numFmtId="0" fontId="3" fillId="25" borderId="3" xfId="0" applyFont="1" applyFill="1" applyBorder="1" applyAlignment="1">
      <alignment horizontal="center" vertical="center"/>
    </xf>
    <xf numFmtId="0" fontId="2" fillId="13" borderId="3" xfId="0" applyFont="1" applyFill="1" applyBorder="1" applyAlignment="1">
      <alignment horizontal="center" vertical="center"/>
    </xf>
    <xf numFmtId="0" fontId="2" fillId="19" borderId="24" xfId="0" applyFont="1" applyFill="1" applyBorder="1" applyAlignment="1">
      <alignment horizontal="center" vertical="center"/>
    </xf>
    <xf numFmtId="0" fontId="2" fillId="11" borderId="24" xfId="0" applyFont="1" applyFill="1" applyBorder="1" applyAlignment="1">
      <alignment horizontal="center" vertical="center"/>
    </xf>
    <xf numFmtId="0" fontId="2" fillId="20" borderId="24" xfId="0" applyFont="1" applyFill="1" applyBorder="1" applyAlignment="1">
      <alignment horizontal="center" vertical="center"/>
    </xf>
    <xf numFmtId="0" fontId="2" fillId="24" borderId="24" xfId="0" applyFont="1" applyFill="1" applyBorder="1" applyAlignment="1">
      <alignment horizontal="center" vertical="center"/>
    </xf>
    <xf numFmtId="0" fontId="2" fillId="41" borderId="24" xfId="0" applyFont="1" applyFill="1" applyBorder="1" applyAlignment="1">
      <alignment horizontal="center" vertical="center"/>
    </xf>
    <xf numFmtId="0" fontId="2" fillId="42" borderId="24" xfId="0" applyFont="1" applyFill="1" applyBorder="1" applyAlignment="1">
      <alignment horizontal="center" vertical="center"/>
    </xf>
    <xf numFmtId="0" fontId="9" fillId="2" borderId="25" xfId="0" applyFont="1" applyFill="1" applyBorder="1" applyAlignment="1">
      <alignment horizontal="center" vertical="center"/>
    </xf>
    <xf numFmtId="0" fontId="10" fillId="2" borderId="25" xfId="0" applyFont="1" applyFill="1" applyBorder="1" applyAlignment="1">
      <alignment horizontal="center" vertical="center"/>
    </xf>
    <xf numFmtId="0" fontId="9" fillId="2" borderId="26" xfId="0" applyFont="1" applyFill="1" applyBorder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2" fillId="2" borderId="1" xfId="0" applyFont="1" applyFill="1" applyBorder="1" applyAlignment="1">
      <alignment horizontal="center" vertical="center" wrapText="1"/>
    </xf>
    <xf numFmtId="0" fontId="12" fillId="2" borderId="0" xfId="0" applyFont="1" applyFill="1" applyAlignment="1">
      <alignment horizontal="center" vertical="center" wrapText="1"/>
    </xf>
    <xf numFmtId="0" fontId="13" fillId="0" borderId="0" xfId="0" applyFont="1" applyAlignment="1">
      <alignment vertical="center"/>
    </xf>
    <xf numFmtId="0" fontId="14" fillId="2" borderId="2" xfId="0" applyFont="1" applyFill="1" applyBorder="1" applyAlignment="1">
      <alignment horizontal="center" vertical="center"/>
    </xf>
    <xf numFmtId="0" fontId="15" fillId="43" borderId="27" xfId="0" applyFont="1" applyFill="1" applyBorder="1" applyAlignment="1">
      <alignment horizontal="right" vertical="center" wrapText="1"/>
    </xf>
    <xf numFmtId="0" fontId="16" fillId="43" borderId="28" xfId="0" applyFont="1" applyFill="1" applyBorder="1" applyAlignment="1">
      <alignment horizontal="center" vertical="center" wrapText="1"/>
    </xf>
    <xf numFmtId="0" fontId="17" fillId="0" borderId="0" xfId="0" applyFont="1"/>
    <xf numFmtId="0" fontId="18" fillId="43" borderId="0" xfId="0" applyFont="1" applyFill="1" applyAlignment="1">
      <alignment horizontal="center"/>
    </xf>
    <xf numFmtId="0" fontId="16" fillId="43" borderId="0" xfId="0" applyFont="1" applyFill="1" applyAlignment="1">
      <alignment horizontal="center" vertical="center" wrapText="1"/>
    </xf>
    <xf numFmtId="0" fontId="19" fillId="2" borderId="2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0" fontId="20" fillId="43" borderId="0" xfId="0" applyFont="1" applyFill="1" applyAlignment="1">
      <alignment horizontal="center"/>
    </xf>
    <xf numFmtId="3" fontId="17" fillId="0" borderId="0" xfId="0" applyNumberFormat="1" applyFont="1"/>
    <xf numFmtId="0" fontId="22" fillId="2" borderId="2" xfId="1" applyFont="1" applyFill="1" applyBorder="1" applyAlignment="1">
      <alignment horizontal="center" vertical="center"/>
    </xf>
    <xf numFmtId="0" fontId="23" fillId="2" borderId="2" xfId="1" applyFont="1" applyFill="1" applyBorder="1" applyAlignment="1">
      <alignment horizontal="center" vertical="center"/>
    </xf>
    <xf numFmtId="0" fontId="22" fillId="2" borderId="1" xfId="1" applyFont="1" applyFill="1" applyBorder="1" applyAlignment="1">
      <alignment horizontal="center" vertical="center"/>
    </xf>
    <xf numFmtId="0" fontId="24" fillId="25" borderId="5" xfId="0" applyFont="1" applyFill="1" applyBorder="1" applyAlignment="1">
      <alignment horizontal="center" vertical="center"/>
    </xf>
    <xf numFmtId="0" fontId="24" fillId="13" borderId="5" xfId="0" applyFont="1" applyFill="1" applyBorder="1" applyAlignment="1">
      <alignment horizontal="center" vertical="center"/>
    </xf>
    <xf numFmtId="174" fontId="2" fillId="17" borderId="3" xfId="0" applyNumberFormat="1" applyFont="1" applyFill="1" applyBorder="1" applyAlignment="1">
      <alignment horizontal="center" vertical="center"/>
    </xf>
    <xf numFmtId="173" fontId="3" fillId="23" borderId="19" xfId="0" applyNumberFormat="1" applyFont="1" applyFill="1" applyBorder="1" applyAlignment="1">
      <alignment horizontal="center" vertical="center"/>
    </xf>
    <xf numFmtId="173" fontId="3" fillId="23" borderId="9" xfId="0" applyNumberFormat="1" applyFont="1" applyFill="1" applyBorder="1" applyAlignment="1">
      <alignment horizontal="center" vertical="center"/>
    </xf>
    <xf numFmtId="0" fontId="21" fillId="0" borderId="0" xfId="0" applyFont="1"/>
    <xf numFmtId="0" fontId="27" fillId="46" borderId="0" xfId="4"/>
    <xf numFmtId="0" fontId="21" fillId="0" borderId="0" xfId="0" applyFont="1" applyAlignment="1">
      <alignment horizontal="center" vertical="center"/>
    </xf>
    <xf numFmtId="175" fontId="2" fillId="7" borderId="3" xfId="0" applyNumberFormat="1" applyFont="1" applyFill="1" applyBorder="1" applyAlignment="1">
      <alignment horizontal="center" vertical="center"/>
    </xf>
    <xf numFmtId="175" fontId="0" fillId="0" borderId="0" xfId="0" applyNumberFormat="1"/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1" fillId="0" borderId="0" xfId="0" applyFont="1" applyAlignment="1">
      <alignment horizontal="center" vertical="center" wrapText="1"/>
    </xf>
    <xf numFmtId="175" fontId="26" fillId="45" borderId="0" xfId="3" applyNumberFormat="1" applyAlignment="1">
      <alignment horizontal="center"/>
    </xf>
    <xf numFmtId="0" fontId="26" fillId="45" borderId="0" xfId="3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24" fillId="13" borderId="0" xfId="0" applyFont="1" applyFill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28" fillId="0" borderId="30" xfId="0" applyFont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25" fillId="44" borderId="0" xfId="2" applyAlignment="1">
      <alignment horizontal="center" vertical="center" wrapText="1"/>
    </xf>
    <xf numFmtId="175" fontId="21" fillId="0" borderId="0" xfId="0" applyNumberFormat="1" applyFont="1"/>
    <xf numFmtId="175" fontId="27" fillId="46" borderId="0" xfId="4" applyNumberFormat="1"/>
    <xf numFmtId="164" fontId="0" fillId="0" borderId="0" xfId="0" applyNumberFormat="1"/>
    <xf numFmtId="0" fontId="27" fillId="46" borderId="0" xfId="4" applyAlignment="1">
      <alignment horizontal="center" vertical="center"/>
    </xf>
    <xf numFmtId="175" fontId="27" fillId="46" borderId="0" xfId="4" applyNumberFormat="1" applyAlignment="1">
      <alignment horizontal="center" vertical="center"/>
    </xf>
    <xf numFmtId="0" fontId="25" fillId="44" borderId="0" xfId="2" applyAlignment="1">
      <alignment horizontal="center" vertical="center"/>
    </xf>
    <xf numFmtId="0" fontId="2" fillId="39" borderId="5" xfId="0" applyFont="1" applyFill="1" applyBorder="1" applyAlignment="1">
      <alignment horizontal="center" vertical="center"/>
    </xf>
    <xf numFmtId="0" fontId="4" fillId="0" borderId="6" xfId="0" applyFont="1" applyBorder="1"/>
    <xf numFmtId="0" fontId="4" fillId="0" borderId="7" xfId="0" applyFont="1" applyBorder="1"/>
    <xf numFmtId="0" fontId="2" fillId="40" borderId="20" xfId="0" applyFont="1" applyFill="1" applyBorder="1" applyAlignment="1">
      <alignment horizontal="center" vertical="center" wrapText="1"/>
    </xf>
    <xf numFmtId="0" fontId="4" fillId="0" borderId="21" xfId="0" applyFont="1" applyBorder="1"/>
    <xf numFmtId="0" fontId="4" fillId="0" borderId="22" xfId="0" applyFont="1" applyBorder="1"/>
    <xf numFmtId="0" fontId="4" fillId="0" borderId="23" xfId="0" applyFont="1" applyBorder="1"/>
    <xf numFmtId="0" fontId="4" fillId="0" borderId="16" xfId="0" applyFont="1" applyBorder="1"/>
    <xf numFmtId="0" fontId="4" fillId="0" borderId="18" xfId="0" applyFont="1" applyBorder="1"/>
    <xf numFmtId="0" fontId="3" fillId="0" borderId="0" xfId="0" applyFont="1" applyAlignment="1">
      <alignment horizontal="center" vertical="center" wrapText="1"/>
    </xf>
    <xf numFmtId="0" fontId="0" fillId="0" borderId="0" xfId="0"/>
    <xf numFmtId="0" fontId="2" fillId="0" borderId="0" xfId="0" applyFont="1" applyAlignment="1">
      <alignment horizontal="center" vertical="center"/>
    </xf>
    <xf numFmtId="0" fontId="5" fillId="14" borderId="0" xfId="0" applyFont="1" applyFill="1" applyAlignment="1">
      <alignment horizontal="center" vertical="center"/>
    </xf>
    <xf numFmtId="0" fontId="3" fillId="14" borderId="0" xfId="0" applyFont="1" applyFill="1" applyAlignment="1">
      <alignment horizontal="center" vertical="center"/>
    </xf>
    <xf numFmtId="0" fontId="8" fillId="30" borderId="5" xfId="0" applyFont="1" applyFill="1" applyBorder="1" applyAlignment="1">
      <alignment horizontal="center" vertical="center" wrapText="1"/>
    </xf>
    <xf numFmtId="0" fontId="2" fillId="14" borderId="5" xfId="0" applyFont="1" applyFill="1" applyBorder="1" applyAlignment="1">
      <alignment horizontal="center" vertical="center"/>
    </xf>
    <xf numFmtId="0" fontId="2" fillId="14" borderId="7" xfId="0" applyFont="1" applyFill="1" applyBorder="1" applyAlignment="1">
      <alignment horizontal="center" vertical="center"/>
    </xf>
    <xf numFmtId="0" fontId="21" fillId="0" borderId="0" xfId="0" applyFont="1" applyAlignment="1">
      <alignment horizontal="center" vertical="center" wrapText="1"/>
    </xf>
    <xf numFmtId="0" fontId="27" fillId="46" borderId="0" xfId="4" applyAlignment="1">
      <alignment horizontal="center" vertical="center"/>
    </xf>
    <xf numFmtId="0" fontId="13" fillId="0" borderId="0" xfId="0" applyFont="1" applyAlignment="1">
      <alignment horizontal="center" vertical="center" wrapText="1"/>
    </xf>
    <xf numFmtId="0" fontId="2" fillId="8" borderId="0" xfId="0" quotePrefix="1" applyFont="1" applyFill="1" applyAlignment="1">
      <alignment horizontal="center" vertical="center"/>
    </xf>
    <xf numFmtId="0" fontId="13" fillId="8" borderId="0" xfId="0" applyFont="1" applyFill="1" applyAlignment="1">
      <alignment horizontal="center" vertical="center" wrapText="1"/>
    </xf>
    <xf numFmtId="0" fontId="2" fillId="10" borderId="5" xfId="0" applyFont="1" applyFill="1" applyBorder="1" applyAlignment="1">
      <alignment horizontal="center" vertical="center"/>
    </xf>
    <xf numFmtId="0" fontId="2" fillId="25" borderId="5" xfId="0" applyFont="1" applyFill="1" applyBorder="1" applyAlignment="1">
      <alignment horizontal="center" vertical="center"/>
    </xf>
    <xf numFmtId="164" fontId="2" fillId="14" borderId="5" xfId="0" applyNumberFormat="1" applyFont="1" applyFill="1" applyBorder="1" applyAlignment="1">
      <alignment horizontal="center" vertical="center"/>
    </xf>
    <xf numFmtId="0" fontId="2" fillId="14" borderId="6" xfId="0" applyFont="1" applyFill="1" applyBorder="1" applyAlignment="1">
      <alignment horizontal="center" vertical="center"/>
    </xf>
    <xf numFmtId="1" fontId="3" fillId="9" borderId="5" xfId="0" applyNumberFormat="1" applyFont="1" applyFill="1" applyBorder="1" applyAlignment="1">
      <alignment horizontal="center" vertical="center"/>
    </xf>
    <xf numFmtId="1" fontId="3" fillId="9" borderId="7" xfId="0" applyNumberFormat="1" applyFont="1" applyFill="1" applyBorder="1" applyAlignment="1">
      <alignment horizontal="center" vertical="center"/>
    </xf>
    <xf numFmtId="0" fontId="3" fillId="9" borderId="5" xfId="0" applyFont="1" applyFill="1" applyBorder="1" applyAlignment="1">
      <alignment horizontal="center" vertical="center"/>
    </xf>
    <xf numFmtId="0" fontId="3" fillId="9" borderId="7" xfId="0" applyFont="1" applyFill="1" applyBorder="1" applyAlignment="1">
      <alignment horizontal="center" vertical="center"/>
    </xf>
    <xf numFmtId="0" fontId="13" fillId="37" borderId="16" xfId="0" applyFont="1" applyFill="1" applyBorder="1" applyAlignment="1">
      <alignment horizontal="center" vertical="center" wrapText="1"/>
    </xf>
    <xf numFmtId="0" fontId="4" fillId="0" borderId="17" xfId="0" applyFont="1" applyBorder="1"/>
    <xf numFmtId="0" fontId="2" fillId="10" borderId="6" xfId="0" applyFont="1" applyFill="1" applyBorder="1" applyAlignment="1">
      <alignment horizontal="center" vertical="center"/>
    </xf>
    <xf numFmtId="173" fontId="2" fillId="14" borderId="5" xfId="0" applyNumberFormat="1" applyFont="1" applyFill="1" applyBorder="1" applyAlignment="1">
      <alignment horizontal="center" vertical="center"/>
    </xf>
    <xf numFmtId="173" fontId="4" fillId="0" borderId="7" xfId="0" applyNumberFormat="1" applyFont="1" applyBorder="1"/>
    <xf numFmtId="0" fontId="2" fillId="16" borderId="0" xfId="0" applyFont="1" applyFill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167" fontId="2" fillId="14" borderId="6" xfId="0" applyNumberFormat="1" applyFont="1" applyFill="1" applyBorder="1" applyAlignment="1">
      <alignment horizontal="center" vertical="center"/>
    </xf>
    <xf numFmtId="167" fontId="2" fillId="14" borderId="5" xfId="0" applyNumberFormat="1" applyFont="1" applyFill="1" applyBorder="1" applyAlignment="1">
      <alignment horizontal="center" vertical="center"/>
    </xf>
    <xf numFmtId="168" fontId="2" fillId="14" borderId="5" xfId="0" applyNumberFormat="1" applyFont="1" applyFill="1" applyBorder="1" applyAlignment="1">
      <alignment horizontal="center" vertical="center"/>
    </xf>
    <xf numFmtId="0" fontId="24" fillId="36" borderId="8" xfId="0" applyFont="1" applyFill="1" applyBorder="1" applyAlignment="1">
      <alignment horizontal="center" vertical="center" wrapText="1"/>
    </xf>
    <xf numFmtId="0" fontId="4" fillId="0" borderId="13" xfId="0" applyFont="1" applyBorder="1"/>
    <xf numFmtId="0" fontId="2" fillId="36" borderId="10" xfId="0" applyFont="1" applyFill="1" applyBorder="1" applyAlignment="1">
      <alignment horizontal="center" vertical="center"/>
    </xf>
    <xf numFmtId="0" fontId="4" fillId="0" borderId="11" xfId="0" applyFont="1" applyBorder="1"/>
    <xf numFmtId="0" fontId="2" fillId="10" borderId="4" xfId="0" applyFont="1" applyFill="1" applyBorder="1" applyAlignment="1">
      <alignment horizontal="center" vertical="center"/>
    </xf>
    <xf numFmtId="0" fontId="4" fillId="0" borderId="12" xfId="0" applyFont="1" applyBorder="1"/>
    <xf numFmtId="0" fontId="2" fillId="10" borderId="15" xfId="0" applyFont="1" applyFill="1" applyBorder="1" applyAlignment="1">
      <alignment horizontal="center" vertical="center"/>
    </xf>
  </cellXfs>
  <cellStyles count="5">
    <cellStyle name="Нейтральный" xfId="4" builtinId="28"/>
    <cellStyle name="Обычный" xfId="0" builtinId="0"/>
    <cellStyle name="Обычный 2" xfId="1" xr:uid="{7659ADFA-37F4-4D61-A1A1-155A24C84AE1}"/>
    <cellStyle name="Плохой" xfId="3" builtinId="27"/>
    <cellStyle name="Хороший" xfId="2" builtinId="26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autoTitleDeleted val="1"/>
    <c:plotArea>
      <c:layout>
        <c:manualLayout>
          <c:xMode val="edge"/>
          <c:yMode val="edge"/>
          <c:x val="7.602486204842232E-2"/>
          <c:y val="8.8649893815784905E-2"/>
          <c:w val="0.7895236770241495"/>
          <c:h val="0.84452484014343576"/>
        </c:manualLayout>
      </c:layout>
      <c:scatterChart>
        <c:scatterStyle val="smoothMarker"/>
        <c:varyColors val="0"/>
        <c:ser>
          <c:idx val="1"/>
          <c:order val="1"/>
          <c:tx>
            <c:v>мнк</c:v>
          </c:tx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xVal>
            <c:numRef>
              <c:f>'Лаба 2'!$B$126:$B$127</c:f>
              <c:numCache>
                <c:formatCode>[=0]"0.00";0.00</c:formatCode>
                <c:ptCount val="2"/>
                <c:pt idx="0">
                  <c:v>0.3</c:v>
                </c:pt>
                <c:pt idx="1">
                  <c:v>17.600000000000001</c:v>
                </c:pt>
              </c:numCache>
            </c:numRef>
          </c:xVal>
          <c:yVal>
            <c:numRef>
              <c:f>'Лаба 2'!$C$126:$C$127</c:f>
              <c:numCache>
                <c:formatCode>[=0]"0.00";0.00</c:formatCode>
                <c:ptCount val="2"/>
                <c:pt idx="0">
                  <c:v>0.27400272281272248</c:v>
                </c:pt>
                <c:pt idx="1">
                  <c:v>0.33541550337868198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9FC9-4963-BFB6-FC66679BF97B}"/>
            </c:ext>
          </c:extLst>
        </c:ser>
        <c:ser>
          <c:idx val="2"/>
          <c:order val="2"/>
          <c:tx>
            <c:v>бк</c:v>
          </c:tx>
          <c:dLbls>
            <c:spPr>
              <a:noFill/>
              <a:ln>
                <a:noFill/>
              </a:ln>
              <a:effectLst/>
            </c:sp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trendline>
            <c:trendlineType val="linear"/>
            <c:dispRSqr val="0"/>
            <c:dispEq val="0"/>
          </c:trendline>
          <c:xVal>
            <c:numRef>
              <c:f>'Лаба 2'!$B$126:$B$127</c:f>
              <c:numCache>
                <c:formatCode>[=0]"0.00";0.00</c:formatCode>
                <c:ptCount val="2"/>
                <c:pt idx="0">
                  <c:v>0.3</c:v>
                </c:pt>
                <c:pt idx="1">
                  <c:v>17.600000000000001</c:v>
                </c:pt>
              </c:numCache>
            </c:numRef>
          </c:xVal>
          <c:yVal>
            <c:numRef>
              <c:f>'Лаба 2'!$D$126:$D$127</c:f>
              <c:numCache>
                <c:formatCode>[=0]"0.00";0.00</c:formatCode>
                <c:ptCount val="2"/>
                <c:pt idx="0">
                  <c:v>-2.3672225562279284E-2</c:v>
                </c:pt>
                <c:pt idx="1">
                  <c:v>0.6752747985012626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9FC9-4963-BFB6-FC66679BF9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2012272"/>
        <c:axId val="352015408"/>
      </c:scatterChart>
      <c:scatterChart>
        <c:scatterStyle val="lineMarker"/>
        <c:varyColors val="0"/>
        <c:ser>
          <c:idx val="0"/>
          <c:order val="0"/>
          <c:spPr>
            <a:ln w="19050"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trendline>
            <c:name>Linear (основные данные)</c:name>
            <c:spPr>
              <a:ln w="19050">
                <a:solidFill>
                  <a:srgbClr val="000000">
                    <a:alpha val="0"/>
                  </a:srgbClr>
                </a:solidFill>
              </a:ln>
            </c:spPr>
            <c:trendlineType val="linear"/>
            <c:dispRSqr val="0"/>
            <c:dispEq val="0"/>
          </c:trendline>
          <c:trendline>
            <c:trendlineType val="linear"/>
            <c:dispRSqr val="0"/>
            <c:dispEq val="0"/>
          </c:trendline>
          <c:xVal>
            <c:numRef>
              <c:f>'Лаба 2'!$B$2:$B$86</c:f>
              <c:numCache>
                <c:formatCode>General</c:formatCode>
                <c:ptCount val="85"/>
                <c:pt idx="0">
                  <c:v>5.8</c:v>
                </c:pt>
                <c:pt idx="1">
                  <c:v>10.9</c:v>
                </c:pt>
                <c:pt idx="2">
                  <c:v>12.7</c:v>
                </c:pt>
                <c:pt idx="3">
                  <c:v>6.1</c:v>
                </c:pt>
                <c:pt idx="4">
                  <c:v>5.3</c:v>
                </c:pt>
                <c:pt idx="5">
                  <c:v>7.1</c:v>
                </c:pt>
                <c:pt idx="6">
                  <c:v>10.6</c:v>
                </c:pt>
                <c:pt idx="7">
                  <c:v>5</c:v>
                </c:pt>
                <c:pt idx="8">
                  <c:v>13.7</c:v>
                </c:pt>
                <c:pt idx="9">
                  <c:v>6.3</c:v>
                </c:pt>
                <c:pt idx="10">
                  <c:v>11.8</c:v>
                </c:pt>
                <c:pt idx="11">
                  <c:v>7.4</c:v>
                </c:pt>
                <c:pt idx="12">
                  <c:v>8.8000000000000007</c:v>
                </c:pt>
                <c:pt idx="13">
                  <c:v>8.6999999999999993</c:v>
                </c:pt>
                <c:pt idx="14">
                  <c:v>1.2</c:v>
                </c:pt>
                <c:pt idx="15">
                  <c:v>8.8000000000000007</c:v>
                </c:pt>
                <c:pt idx="16">
                  <c:v>10.199999999999999</c:v>
                </c:pt>
                <c:pt idx="17">
                  <c:v>13.7</c:v>
                </c:pt>
                <c:pt idx="18">
                  <c:v>1.9</c:v>
                </c:pt>
                <c:pt idx="19">
                  <c:v>7.7</c:v>
                </c:pt>
                <c:pt idx="20">
                  <c:v>10.6</c:v>
                </c:pt>
                <c:pt idx="21">
                  <c:v>10.5</c:v>
                </c:pt>
                <c:pt idx="22">
                  <c:v>6.1</c:v>
                </c:pt>
                <c:pt idx="23">
                  <c:v>8</c:v>
                </c:pt>
                <c:pt idx="24">
                  <c:v>5.7</c:v>
                </c:pt>
                <c:pt idx="25">
                  <c:v>5.9</c:v>
                </c:pt>
                <c:pt idx="26">
                  <c:v>12.4</c:v>
                </c:pt>
                <c:pt idx="27">
                  <c:v>6.6</c:v>
                </c:pt>
                <c:pt idx="28">
                  <c:v>16.899999999999999</c:v>
                </c:pt>
                <c:pt idx="29">
                  <c:v>6.7</c:v>
                </c:pt>
                <c:pt idx="30">
                  <c:v>13</c:v>
                </c:pt>
                <c:pt idx="31">
                  <c:v>12.7</c:v>
                </c:pt>
                <c:pt idx="32">
                  <c:v>12.2</c:v>
                </c:pt>
                <c:pt idx="33">
                  <c:v>8.5</c:v>
                </c:pt>
                <c:pt idx="34">
                  <c:v>10.16</c:v>
                </c:pt>
                <c:pt idx="35">
                  <c:v>6.3</c:v>
                </c:pt>
                <c:pt idx="36">
                  <c:v>5.2</c:v>
                </c:pt>
                <c:pt idx="37">
                  <c:v>6</c:v>
                </c:pt>
                <c:pt idx="38">
                  <c:v>6.4</c:v>
                </c:pt>
                <c:pt idx="39">
                  <c:v>6.6</c:v>
                </c:pt>
                <c:pt idx="40">
                  <c:v>9.3000000000000007</c:v>
                </c:pt>
                <c:pt idx="41">
                  <c:v>10.7</c:v>
                </c:pt>
                <c:pt idx="42">
                  <c:v>9</c:v>
                </c:pt>
                <c:pt idx="43">
                  <c:v>4.9000000000000004</c:v>
                </c:pt>
                <c:pt idx="44">
                  <c:v>8.3000000000000007</c:v>
                </c:pt>
                <c:pt idx="45">
                  <c:v>9</c:v>
                </c:pt>
                <c:pt idx="46">
                  <c:v>8.8000000000000007</c:v>
                </c:pt>
                <c:pt idx="47">
                  <c:v>1.84</c:v>
                </c:pt>
                <c:pt idx="48">
                  <c:v>0.6</c:v>
                </c:pt>
                <c:pt idx="49">
                  <c:v>5.8</c:v>
                </c:pt>
                <c:pt idx="50">
                  <c:v>15.3</c:v>
                </c:pt>
                <c:pt idx="51">
                  <c:v>16</c:v>
                </c:pt>
                <c:pt idx="52">
                  <c:v>7.7</c:v>
                </c:pt>
                <c:pt idx="53">
                  <c:v>10</c:v>
                </c:pt>
                <c:pt idx="54">
                  <c:v>7.3</c:v>
                </c:pt>
                <c:pt idx="55">
                  <c:v>9.6999999999999993</c:v>
                </c:pt>
                <c:pt idx="56">
                  <c:v>1.2</c:v>
                </c:pt>
                <c:pt idx="57">
                  <c:v>10</c:v>
                </c:pt>
                <c:pt idx="58">
                  <c:v>4</c:v>
                </c:pt>
                <c:pt idx="59">
                  <c:v>5.5</c:v>
                </c:pt>
                <c:pt idx="60">
                  <c:v>10.199999999999999</c:v>
                </c:pt>
                <c:pt idx="61">
                  <c:v>4.5</c:v>
                </c:pt>
                <c:pt idx="62">
                  <c:v>7.1</c:v>
                </c:pt>
                <c:pt idx="63">
                  <c:v>6.4</c:v>
                </c:pt>
                <c:pt idx="64">
                  <c:v>8.1999999999999993</c:v>
                </c:pt>
                <c:pt idx="65">
                  <c:v>4.5999999999999996</c:v>
                </c:pt>
                <c:pt idx="66">
                  <c:v>17.600000000000001</c:v>
                </c:pt>
                <c:pt idx="67">
                  <c:v>8.8000000000000007</c:v>
                </c:pt>
                <c:pt idx="68">
                  <c:v>9.1999999999999993</c:v>
                </c:pt>
                <c:pt idx="69">
                  <c:v>9.5</c:v>
                </c:pt>
                <c:pt idx="70">
                  <c:v>4.0999999999999996</c:v>
                </c:pt>
                <c:pt idx="71">
                  <c:v>5.3</c:v>
                </c:pt>
                <c:pt idx="72">
                  <c:v>10.8</c:v>
                </c:pt>
                <c:pt idx="73">
                  <c:v>7.2</c:v>
                </c:pt>
                <c:pt idx="74">
                  <c:v>7.3</c:v>
                </c:pt>
                <c:pt idx="75">
                  <c:v>7.7</c:v>
                </c:pt>
                <c:pt idx="76">
                  <c:v>12.2</c:v>
                </c:pt>
                <c:pt idx="77">
                  <c:v>6.2</c:v>
                </c:pt>
                <c:pt idx="78">
                  <c:v>13.4</c:v>
                </c:pt>
                <c:pt idx="79">
                  <c:v>9.8000000000000007</c:v>
                </c:pt>
                <c:pt idx="80">
                  <c:v>7.5</c:v>
                </c:pt>
                <c:pt idx="81">
                  <c:v>0.3</c:v>
                </c:pt>
                <c:pt idx="82">
                  <c:v>15.7</c:v>
                </c:pt>
                <c:pt idx="83">
                  <c:v>12.2</c:v>
                </c:pt>
                <c:pt idx="84">
                  <c:v>11.2</c:v>
                </c:pt>
              </c:numCache>
            </c:numRef>
          </c:xVal>
          <c:yVal>
            <c:numRef>
              <c:f>'Лаба 2'!$C$2:$C$86</c:f>
              <c:numCache>
                <c:formatCode>0.00</c:formatCode>
                <c:ptCount val="85"/>
                <c:pt idx="0">
                  <c:v>0.36302585758268696</c:v>
                </c:pt>
                <c:pt idx="1">
                  <c:v>0.28294449616011169</c:v>
                </c:pt>
                <c:pt idx="2">
                  <c:v>0.38545622697235937</c:v>
                </c:pt>
                <c:pt idx="3">
                  <c:v>0.26334479881395934</c:v>
                </c:pt>
                <c:pt idx="4">
                  <c:v>0.32556785359428797</c:v>
                </c:pt>
                <c:pt idx="5">
                  <c:v>0.34557226801592528</c:v>
                </c:pt>
                <c:pt idx="6">
                  <c:v>0.32370524091612268</c:v>
                </c:pt>
                <c:pt idx="7">
                  <c:v>0.28769193443010727</c:v>
                </c:pt>
                <c:pt idx="8">
                  <c:v>0.31700101011891046</c:v>
                </c:pt>
                <c:pt idx="9">
                  <c:v>0.31096512364362311</c:v>
                </c:pt>
                <c:pt idx="10">
                  <c:v>0.28775978078029191</c:v>
                </c:pt>
                <c:pt idx="11">
                  <c:v>0.26826896136069067</c:v>
                </c:pt>
                <c:pt idx="12">
                  <c:v>0.32920536297161379</c:v>
                </c:pt>
                <c:pt idx="13">
                  <c:v>0.30557800924869399</c:v>
                </c:pt>
                <c:pt idx="14">
                  <c:v>0.21646294873129387</c:v>
                </c:pt>
                <c:pt idx="15">
                  <c:v>0.26654616603721709</c:v>
                </c:pt>
                <c:pt idx="16">
                  <c:v>0.28465686970691345</c:v>
                </c:pt>
                <c:pt idx="17">
                  <c:v>0.30145000743859696</c:v>
                </c:pt>
                <c:pt idx="18">
                  <c:v>0.25927325680707869</c:v>
                </c:pt>
                <c:pt idx="19">
                  <c:v>0.3137960038785198</c:v>
                </c:pt>
                <c:pt idx="20">
                  <c:v>0.36222192936215075</c:v>
                </c:pt>
                <c:pt idx="21">
                  <c:v>0.34622978916900582</c:v>
                </c:pt>
                <c:pt idx="22">
                  <c:v>0.27765182627389046</c:v>
                </c:pt>
                <c:pt idx="23">
                  <c:v>0.28623436401967672</c:v>
                </c:pt>
                <c:pt idx="24">
                  <c:v>0.36197288148056717</c:v>
                </c:pt>
                <c:pt idx="25">
                  <c:v>0.34814285486537611</c:v>
                </c:pt>
                <c:pt idx="26">
                  <c:v>0.23742716080565626</c:v>
                </c:pt>
                <c:pt idx="27">
                  <c:v>0.32540382495752368</c:v>
                </c:pt>
                <c:pt idx="28">
                  <c:v>0.30334849295523453</c:v>
                </c:pt>
                <c:pt idx="29">
                  <c:v>0.23209764826812121</c:v>
                </c:pt>
                <c:pt idx="30">
                  <c:v>0.22964076601026662</c:v>
                </c:pt>
                <c:pt idx="31">
                  <c:v>0.3500858727866859</c:v>
                </c:pt>
                <c:pt idx="32">
                  <c:v>0.33417764268828098</c:v>
                </c:pt>
                <c:pt idx="33">
                  <c:v>0.32092773714525341</c:v>
                </c:pt>
                <c:pt idx="34">
                  <c:v>0.32872520911946684</c:v>
                </c:pt>
                <c:pt idx="35">
                  <c:v>0.28905939380492179</c:v>
                </c:pt>
                <c:pt idx="36">
                  <c:v>0.30949444860228364</c:v>
                </c:pt>
                <c:pt idx="37">
                  <c:v>0.31989231109235933</c:v>
                </c:pt>
                <c:pt idx="38">
                  <c:v>0.36490675687644825</c:v>
                </c:pt>
                <c:pt idx="39">
                  <c:v>0.33557531609870928</c:v>
                </c:pt>
                <c:pt idx="40">
                  <c:v>0.30362417616503051</c:v>
                </c:pt>
                <c:pt idx="41">
                  <c:v>0.27825561431220386</c:v>
                </c:pt>
                <c:pt idx="42">
                  <c:v>0.33361190635861371</c:v>
                </c:pt>
                <c:pt idx="43">
                  <c:v>0.24100670277916192</c:v>
                </c:pt>
                <c:pt idx="44">
                  <c:v>0.28084839917076621</c:v>
                </c:pt>
                <c:pt idx="45">
                  <c:v>0.28208971829232549</c:v>
                </c:pt>
                <c:pt idx="46">
                  <c:v>0.26041812997117653</c:v>
                </c:pt>
                <c:pt idx="47">
                  <c:v>0.21157524193882546</c:v>
                </c:pt>
                <c:pt idx="48">
                  <c:v>0.21395620404199231</c:v>
                </c:pt>
                <c:pt idx="49">
                  <c:v>0.28012944248892924</c:v>
                </c:pt>
                <c:pt idx="50">
                  <c:v>0.42687577796260473</c:v>
                </c:pt>
                <c:pt idx="51">
                  <c:v>0.38559773213456772</c:v>
                </c:pt>
                <c:pt idx="52">
                  <c:v>0.29065077785770438</c:v>
                </c:pt>
                <c:pt idx="53">
                  <c:v>0.30486257110251114</c:v>
                </c:pt>
                <c:pt idx="54">
                  <c:v>0.31256695102751186</c:v>
                </c:pt>
                <c:pt idx="55">
                  <c:v>0.2740405704230795</c:v>
                </c:pt>
                <c:pt idx="56">
                  <c:v>0.28149367107206091</c:v>
                </c:pt>
                <c:pt idx="57">
                  <c:v>0.27770799219678649</c:v>
                </c:pt>
                <c:pt idx="58">
                  <c:v>0.4774789446745149</c:v>
                </c:pt>
                <c:pt idx="59">
                  <c:v>0.36054271166071034</c:v>
                </c:pt>
                <c:pt idx="60">
                  <c:v>0.3042896070765263</c:v>
                </c:pt>
                <c:pt idx="61">
                  <c:v>0.29084316191241077</c:v>
                </c:pt>
                <c:pt idx="62">
                  <c:v>0.32979450670214683</c:v>
                </c:pt>
                <c:pt idx="63">
                  <c:v>0.29617217753946978</c:v>
                </c:pt>
                <c:pt idx="64">
                  <c:v>0.26276461171823956</c:v>
                </c:pt>
                <c:pt idx="65">
                  <c:v>0.28981265270164935</c:v>
                </c:pt>
                <c:pt idx="66">
                  <c:v>0.34280030870571865</c:v>
                </c:pt>
                <c:pt idx="67">
                  <c:v>0.30568764594057857</c:v>
                </c:pt>
                <c:pt idx="68">
                  <c:v>0.20395862693778941</c:v>
                </c:pt>
                <c:pt idx="69">
                  <c:v>0.32518366800198295</c:v>
                </c:pt>
                <c:pt idx="70">
                  <c:v>0.24561538232703842</c:v>
                </c:pt>
                <c:pt idx="71">
                  <c:v>0.34006983289394388</c:v>
                </c:pt>
                <c:pt idx="72">
                  <c:v>0.32395935547604182</c:v>
                </c:pt>
                <c:pt idx="73">
                  <c:v>0.27583037230108803</c:v>
                </c:pt>
                <c:pt idx="74">
                  <c:v>0.34032923813657057</c:v>
                </c:pt>
                <c:pt idx="75">
                  <c:v>0.25441523971643915</c:v>
                </c:pt>
                <c:pt idx="76">
                  <c:v>0.30899637521389567</c:v>
                </c:pt>
                <c:pt idx="77">
                  <c:v>0.33603591013995637</c:v>
                </c:pt>
                <c:pt idx="78">
                  <c:v>0.27741605866703217</c:v>
                </c:pt>
                <c:pt idx="79">
                  <c:v>0.26636453206527771</c:v>
                </c:pt>
                <c:pt idx="80">
                  <c:v>0.29695737780764336</c:v>
                </c:pt>
                <c:pt idx="81">
                  <c:v>0.28008262601936423</c:v>
                </c:pt>
                <c:pt idx="82">
                  <c:v>0.30595192995748621</c:v>
                </c:pt>
                <c:pt idx="83">
                  <c:v>0.28329627994389245</c:v>
                </c:pt>
                <c:pt idx="84">
                  <c:v>0.322472761367394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FC9-4963-BFB6-FC66679BF9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2012272"/>
        <c:axId val="352015408"/>
      </c:scatterChart>
      <c:valAx>
        <c:axId val="352012272"/>
        <c:scaling>
          <c:orientation val="minMax"/>
          <c:max val="20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ru-RU"/>
              </a:p>
            </c:rich>
          </c:tx>
          <c:overlay val="0"/>
        </c:title>
        <c:numFmt formatCode="[=0]&quot;0.00&quot;;0.00" sourceLinked="1"/>
        <c:majorTickMark val="out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352015408"/>
        <c:crosses val="autoZero"/>
        <c:crossBetween val="midCat"/>
      </c:valAx>
      <c:valAx>
        <c:axId val="352015408"/>
        <c:scaling>
          <c:orientation val="minMax"/>
          <c:max val="0.70000000000000007"/>
          <c:min val="0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ru-RU"/>
              </a:p>
            </c:rich>
          </c:tx>
          <c:overlay val="0"/>
        </c:title>
        <c:numFmt formatCode="[=0]&quot;0.00&quot;;0.00" sourceLinked="1"/>
        <c:majorTickMark val="out"/>
        <c:minorTickMark val="none"/>
        <c:tickLblPos val="nextTo"/>
        <c:spPr>
          <a:ln>
            <a:solidFill>
              <a:schemeClr val="tx1"/>
            </a:solidFill>
          </a:ln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352012272"/>
        <c:crosses val="autoZero"/>
        <c:crossBetween val="midCat"/>
      </c:valAx>
    </c:plotArea>
    <c:legend>
      <c:legendPos val="r"/>
      <c:layout>
        <c:manualLayout>
          <c:xMode val="edge"/>
          <c:yMode val="edge"/>
          <c:x val="0.80815391422079841"/>
          <c:y val="0.20277974731831508"/>
          <c:w val="0.10914237431347695"/>
          <c:h val="0.21327163488450199"/>
        </c:manualLayout>
      </c:layout>
      <c:overlay val="0"/>
      <c:txPr>
        <a:bodyPr/>
        <a:lstStyle/>
        <a:p>
          <a:pPr lvl="0">
            <a:defRPr sz="900" b="0" i="0">
              <a:solidFill>
                <a:srgbClr val="1A1A1A"/>
              </a:solidFill>
              <a:latin typeface="+mn-lt"/>
            </a:defRPr>
          </a:pPr>
          <a:endParaRPr lang="ru-RU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1"/>
  <c:style val="2"/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yVal>
            <c:numRef>
              <c:f>'Лаба 2'!$Q$2:$Q$86</c:f>
              <c:numCache>
                <c:formatCode>[=0]"0.00";0.00</c:formatCode>
                <c:ptCount val="85"/>
                <c:pt idx="0">
                  <c:v>0.29352701721230495</c:v>
                </c:pt>
                <c:pt idx="1">
                  <c:v>0.31163136292828147</c:v>
                </c:pt>
                <c:pt idx="2">
                  <c:v>0.31802113200450849</c:v>
                </c:pt>
                <c:pt idx="3">
                  <c:v>0.29459197872500947</c:v>
                </c:pt>
                <c:pt idx="4">
                  <c:v>0.29175208135779745</c:v>
                </c:pt>
                <c:pt idx="5">
                  <c:v>0.29814185043402447</c:v>
                </c:pt>
                <c:pt idx="6">
                  <c:v>0.31056640141557701</c:v>
                </c:pt>
                <c:pt idx="7">
                  <c:v>0.29068711984509299</c:v>
                </c:pt>
                <c:pt idx="8">
                  <c:v>0.32157100371352348</c:v>
                </c:pt>
                <c:pt idx="9">
                  <c:v>0.29530195306681245</c:v>
                </c:pt>
                <c:pt idx="10">
                  <c:v>0.31482624746639498</c:v>
                </c:pt>
                <c:pt idx="11">
                  <c:v>0.29920681194672899</c:v>
                </c:pt>
                <c:pt idx="12">
                  <c:v>0.30417663233934999</c:v>
                </c:pt>
                <c:pt idx="13">
                  <c:v>0.30382164516844845</c:v>
                </c:pt>
                <c:pt idx="14">
                  <c:v>0.27719760735083598</c:v>
                </c:pt>
                <c:pt idx="15">
                  <c:v>0.30417663233934999</c:v>
                </c:pt>
                <c:pt idx="16">
                  <c:v>0.309146452731971</c:v>
                </c:pt>
                <c:pt idx="17">
                  <c:v>0.32157100371352348</c:v>
                </c:pt>
                <c:pt idx="18">
                  <c:v>0.27968251754714646</c:v>
                </c:pt>
                <c:pt idx="19">
                  <c:v>0.30027177345943346</c:v>
                </c:pt>
                <c:pt idx="20">
                  <c:v>0.31056640141557701</c:v>
                </c:pt>
                <c:pt idx="21">
                  <c:v>0.31021141424467547</c:v>
                </c:pt>
                <c:pt idx="22">
                  <c:v>0.29459197872500947</c:v>
                </c:pt>
                <c:pt idx="23">
                  <c:v>0.30133673497213798</c:v>
                </c:pt>
                <c:pt idx="24">
                  <c:v>0.29317203004140346</c:v>
                </c:pt>
                <c:pt idx="25">
                  <c:v>0.2938820043832065</c:v>
                </c:pt>
                <c:pt idx="26">
                  <c:v>0.31695617049180397</c:v>
                </c:pt>
                <c:pt idx="27">
                  <c:v>0.29636691457951697</c:v>
                </c:pt>
                <c:pt idx="28">
                  <c:v>0.3329305931823715</c:v>
                </c:pt>
                <c:pt idx="29">
                  <c:v>0.29672190175041846</c:v>
                </c:pt>
                <c:pt idx="30">
                  <c:v>0.31908609351721301</c:v>
                </c:pt>
                <c:pt idx="31">
                  <c:v>0.31802113200450849</c:v>
                </c:pt>
                <c:pt idx="32">
                  <c:v>0.31624619615000099</c:v>
                </c:pt>
                <c:pt idx="33">
                  <c:v>0.30311167082664547</c:v>
                </c:pt>
                <c:pt idx="34">
                  <c:v>0.30900445786361036</c:v>
                </c:pt>
                <c:pt idx="35">
                  <c:v>0.29530195306681245</c:v>
                </c:pt>
                <c:pt idx="36">
                  <c:v>0.29139709418689597</c:v>
                </c:pt>
                <c:pt idx="37">
                  <c:v>0.29423699155410799</c:v>
                </c:pt>
                <c:pt idx="38">
                  <c:v>0.29565694023771399</c:v>
                </c:pt>
                <c:pt idx="39">
                  <c:v>0.29636691457951697</c:v>
                </c:pt>
                <c:pt idx="40">
                  <c:v>0.30595156819385749</c:v>
                </c:pt>
                <c:pt idx="41">
                  <c:v>0.3109213885864785</c:v>
                </c:pt>
                <c:pt idx="42">
                  <c:v>0.30488660668115297</c:v>
                </c:pt>
                <c:pt idx="43">
                  <c:v>0.29033213267419145</c:v>
                </c:pt>
                <c:pt idx="44">
                  <c:v>0.3024016964848425</c:v>
                </c:pt>
                <c:pt idx="45">
                  <c:v>0.30488660668115297</c:v>
                </c:pt>
                <c:pt idx="46">
                  <c:v>0.30417663233934999</c:v>
                </c:pt>
                <c:pt idx="47">
                  <c:v>0.27946952524460555</c:v>
                </c:pt>
                <c:pt idx="48">
                  <c:v>0.27506768432542694</c:v>
                </c:pt>
                <c:pt idx="49">
                  <c:v>0.29352701721230495</c:v>
                </c:pt>
                <c:pt idx="50">
                  <c:v>0.32725079844794747</c:v>
                </c:pt>
                <c:pt idx="51">
                  <c:v>0.329735708644258</c:v>
                </c:pt>
                <c:pt idx="52">
                  <c:v>0.30027177345943346</c:v>
                </c:pt>
                <c:pt idx="53">
                  <c:v>0.30843647839016797</c:v>
                </c:pt>
                <c:pt idx="54">
                  <c:v>0.2988518247758275</c:v>
                </c:pt>
                <c:pt idx="55">
                  <c:v>0.3073715168774635</c:v>
                </c:pt>
                <c:pt idx="56">
                  <c:v>0.27719760735083598</c:v>
                </c:pt>
                <c:pt idx="57">
                  <c:v>0.30843647839016797</c:v>
                </c:pt>
                <c:pt idx="58">
                  <c:v>0.28713724813607799</c:v>
                </c:pt>
                <c:pt idx="59">
                  <c:v>0.29246205569960049</c:v>
                </c:pt>
                <c:pt idx="60">
                  <c:v>0.309146452731971</c:v>
                </c:pt>
                <c:pt idx="61">
                  <c:v>0.28891218399058549</c:v>
                </c:pt>
                <c:pt idx="62">
                  <c:v>0.29814185043402447</c:v>
                </c:pt>
                <c:pt idx="63">
                  <c:v>0.29565694023771399</c:v>
                </c:pt>
                <c:pt idx="64">
                  <c:v>0.30204670931394095</c:v>
                </c:pt>
                <c:pt idx="65">
                  <c:v>0.28926717116148698</c:v>
                </c:pt>
                <c:pt idx="66">
                  <c:v>0.33541550337868198</c:v>
                </c:pt>
                <c:pt idx="67">
                  <c:v>0.30417663233934999</c:v>
                </c:pt>
                <c:pt idx="68">
                  <c:v>0.30559658102295595</c:v>
                </c:pt>
                <c:pt idx="69">
                  <c:v>0.30666154253566047</c:v>
                </c:pt>
                <c:pt idx="70">
                  <c:v>0.28749223530697948</c:v>
                </c:pt>
                <c:pt idx="71">
                  <c:v>0.29175208135779745</c:v>
                </c:pt>
                <c:pt idx="72">
                  <c:v>0.31127637575737999</c:v>
                </c:pt>
                <c:pt idx="73">
                  <c:v>0.29849683760492596</c:v>
                </c:pt>
                <c:pt idx="74">
                  <c:v>0.2988518247758275</c:v>
                </c:pt>
                <c:pt idx="75">
                  <c:v>0.30027177345943346</c:v>
                </c:pt>
                <c:pt idx="76">
                  <c:v>0.31624619615000099</c:v>
                </c:pt>
                <c:pt idx="77">
                  <c:v>0.29494696589591096</c:v>
                </c:pt>
                <c:pt idx="78">
                  <c:v>0.32050604220081902</c:v>
                </c:pt>
                <c:pt idx="79">
                  <c:v>0.30772650404836499</c:v>
                </c:pt>
                <c:pt idx="80">
                  <c:v>0.29956179911763048</c:v>
                </c:pt>
                <c:pt idx="81">
                  <c:v>0.27400272281272248</c:v>
                </c:pt>
                <c:pt idx="82">
                  <c:v>0.32867074713155348</c:v>
                </c:pt>
                <c:pt idx="83">
                  <c:v>0.31624619615000099</c:v>
                </c:pt>
                <c:pt idx="84">
                  <c:v>0.312696324440986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967C-4338-86E2-BEE4B3D2F9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52015800"/>
        <c:axId val="352008744"/>
      </c:scatterChart>
      <c:valAx>
        <c:axId val="352015800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ru-RU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352008744"/>
        <c:crosses val="autoZero"/>
        <c:crossBetween val="midCat"/>
      </c:valAx>
      <c:valAx>
        <c:axId val="35200874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endParaRPr lang="ru-RU"/>
              </a:p>
            </c:rich>
          </c:tx>
          <c:overlay val="0"/>
        </c:title>
        <c:numFmt formatCode="[=0]&quot;0.00&quot;;0.00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900" b="0" i="0">
                <a:solidFill>
                  <a:srgbClr val="000000"/>
                </a:solidFill>
                <a:latin typeface="+mn-lt"/>
              </a:defRPr>
            </a:pPr>
            <a:endParaRPr lang="ru-RU"/>
          </a:p>
        </c:txPr>
        <c:crossAx val="352015800"/>
        <c:crosses val="autoZero"/>
        <c:crossBetween val="midCat"/>
      </c:valAx>
    </c:plotArea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gif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13</xdr:col>
      <xdr:colOff>180975</xdr:colOff>
      <xdr:row>53</xdr:row>
      <xdr:rowOff>66675</xdr:rowOff>
    </xdr:from>
    <xdr:ext cx="15030450" cy="6029325"/>
    <xdr:graphicFrame macro="">
      <xdr:nvGraphicFramePr>
        <xdr:cNvPr id="2" name="Chart 1" title="Диаграмма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23</xdr:col>
      <xdr:colOff>542925</xdr:colOff>
      <xdr:row>109</xdr:row>
      <xdr:rowOff>76200</xdr:rowOff>
    </xdr:from>
    <xdr:ext cx="8362950" cy="3810000"/>
    <xdr:graphicFrame macro="">
      <xdr:nvGraphicFramePr>
        <xdr:cNvPr id="3" name="Chart 2" title="Диаграмма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  <xdr:twoCellAnchor editAs="oneCell">
    <xdr:from>
      <xdr:col>46</xdr:col>
      <xdr:colOff>86591</xdr:colOff>
      <xdr:row>16</xdr:row>
      <xdr:rowOff>173182</xdr:rowOff>
    </xdr:from>
    <xdr:to>
      <xdr:col>48</xdr:col>
      <xdr:colOff>705716</xdr:colOff>
      <xdr:row>33</xdr:row>
      <xdr:rowOff>142875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34FE66E9-89A5-4792-B33B-668C07EC4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67159" y="4762500"/>
          <a:ext cx="3822989" cy="36498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1BF8E8-F764-4B07-8095-A70D8A6A2EF6}">
  <dimension ref="A1:J24"/>
  <sheetViews>
    <sheetView workbookViewId="0">
      <selection activeCell="H28" sqref="H28"/>
    </sheetView>
  </sheetViews>
  <sheetFormatPr defaultRowHeight="12.75"/>
  <cols>
    <col min="1" max="1" width="66" bestFit="1" customWidth="1"/>
    <col min="2" max="2" width="15.85546875" bestFit="1" customWidth="1"/>
    <col min="3" max="3" width="21.28515625" bestFit="1" customWidth="1"/>
    <col min="4" max="4" width="14.42578125" bestFit="1" customWidth="1"/>
    <col min="5" max="5" width="12" bestFit="1" customWidth="1"/>
    <col min="6" max="6" width="14.42578125" bestFit="1" customWidth="1"/>
    <col min="7" max="7" width="13" bestFit="1" customWidth="1"/>
    <col min="8" max="8" width="14.140625" bestFit="1" customWidth="1"/>
    <col min="9" max="9" width="14.7109375" bestFit="1" customWidth="1"/>
  </cols>
  <sheetData>
    <row r="1" spans="1:10">
      <c r="A1" s="154" t="s">
        <v>226</v>
      </c>
      <c r="B1" s="154"/>
      <c r="C1" s="154"/>
      <c r="D1" s="154"/>
      <c r="E1" s="154"/>
      <c r="F1" s="154"/>
      <c r="G1" s="154"/>
      <c r="H1" s="154"/>
      <c r="I1" s="154"/>
      <c r="J1" s="154"/>
    </row>
    <row r="2" spans="1:10" ht="13.5" thickBot="1">
      <c r="A2" s="154"/>
      <c r="B2" s="154"/>
      <c r="C2" s="154"/>
      <c r="D2" s="154"/>
      <c r="E2" s="154"/>
      <c r="F2" s="154"/>
      <c r="G2" s="154"/>
      <c r="H2" s="154"/>
      <c r="I2" s="154"/>
      <c r="J2" s="154"/>
    </row>
    <row r="3" spans="1:10">
      <c r="A3" s="155" t="s">
        <v>137</v>
      </c>
      <c r="B3" s="155"/>
      <c r="C3" s="154"/>
      <c r="D3" s="154"/>
      <c r="E3" s="154"/>
      <c r="F3" s="154"/>
      <c r="G3" s="154"/>
      <c r="H3" s="154"/>
      <c r="I3" s="154"/>
      <c r="J3" s="154"/>
    </row>
    <row r="4" spans="1:10">
      <c r="A4" s="156" t="s">
        <v>139</v>
      </c>
      <c r="B4" s="156">
        <v>0.2458926661556802</v>
      </c>
      <c r="C4" s="154"/>
      <c r="D4" s="154"/>
      <c r="E4" s="154"/>
      <c r="F4" s="154"/>
      <c r="G4" s="154"/>
      <c r="H4" s="154"/>
      <c r="I4" s="154"/>
      <c r="J4" s="154"/>
    </row>
    <row r="5" spans="1:10">
      <c r="A5" s="156" t="s">
        <v>140</v>
      </c>
      <c r="B5" s="156">
        <v>6.0463203269148801E-2</v>
      </c>
      <c r="C5" s="154"/>
      <c r="D5" s="154"/>
      <c r="E5" s="154"/>
      <c r="F5" s="154"/>
      <c r="G5" s="154"/>
      <c r="H5" s="154"/>
      <c r="I5" s="154"/>
      <c r="J5" s="154"/>
    </row>
    <row r="6" spans="1:10">
      <c r="A6" s="156" t="s">
        <v>141</v>
      </c>
      <c r="B6" s="156">
        <v>4.9143482826608423E-2</v>
      </c>
      <c r="C6" s="154"/>
      <c r="D6" s="154"/>
      <c r="E6" s="154"/>
      <c r="F6" s="154"/>
      <c r="G6" s="154"/>
      <c r="H6" s="154"/>
      <c r="I6" s="154"/>
      <c r="J6" s="154"/>
    </row>
    <row r="7" spans="1:10">
      <c r="A7" s="156" t="s">
        <v>144</v>
      </c>
      <c r="B7" s="156">
        <v>4.4793497345820991E-2</v>
      </c>
      <c r="C7" s="154"/>
      <c r="D7" s="154"/>
      <c r="E7" s="154"/>
      <c r="F7" s="154"/>
      <c r="G7" s="154"/>
      <c r="H7" s="154"/>
      <c r="I7" s="154"/>
      <c r="J7" s="154"/>
    </row>
    <row r="8" spans="1:10" ht="13.5" thickBot="1">
      <c r="A8" s="157" t="s">
        <v>145</v>
      </c>
      <c r="B8" s="157">
        <v>85</v>
      </c>
      <c r="C8" s="154"/>
      <c r="D8" s="154"/>
      <c r="E8" s="154"/>
      <c r="F8" s="154"/>
      <c r="G8" s="154"/>
      <c r="H8" s="154"/>
      <c r="I8" s="154"/>
      <c r="J8" s="154"/>
    </row>
    <row r="9" spans="1:10">
      <c r="A9" s="154"/>
      <c r="B9" s="154"/>
      <c r="C9" s="154"/>
      <c r="D9" s="154"/>
      <c r="E9" s="154"/>
      <c r="F9" s="154"/>
      <c r="G9" s="154"/>
      <c r="H9" s="154"/>
      <c r="I9" s="154"/>
      <c r="J9" s="154"/>
    </row>
    <row r="10" spans="1:10" ht="13.5" thickBot="1">
      <c r="A10" s="154" t="s">
        <v>146</v>
      </c>
      <c r="B10" s="154"/>
      <c r="C10" s="154"/>
      <c r="D10" s="154"/>
      <c r="E10" s="154"/>
      <c r="F10" s="154"/>
      <c r="G10" s="154"/>
      <c r="H10" s="154"/>
      <c r="I10" s="154"/>
      <c r="J10" s="154"/>
    </row>
    <row r="11" spans="1:10">
      <c r="A11" s="155"/>
      <c r="B11" s="155" t="s">
        <v>147</v>
      </c>
      <c r="C11" s="155" t="s">
        <v>148</v>
      </c>
      <c r="D11" s="155" t="s">
        <v>149</v>
      </c>
      <c r="E11" s="155" t="s">
        <v>150</v>
      </c>
      <c r="F11" s="155" t="s">
        <v>151</v>
      </c>
      <c r="G11" s="154"/>
      <c r="H11" s="154"/>
      <c r="I11" s="154"/>
      <c r="J11" s="154"/>
    </row>
    <row r="12" spans="1:10">
      <c r="A12" s="156" t="s">
        <v>152</v>
      </c>
      <c r="B12" s="156">
        <v>1</v>
      </c>
      <c r="C12" s="156">
        <v>1.071730017655248E-2</v>
      </c>
      <c r="D12" s="156">
        <v>1.071730017655248E-2</v>
      </c>
      <c r="E12" s="156">
        <v>5.3414042843252076</v>
      </c>
      <c r="F12" s="156">
        <v>2.3304807085158544E-2</v>
      </c>
      <c r="G12" s="154"/>
      <c r="H12" s="154"/>
      <c r="I12" s="154"/>
      <c r="J12" s="154"/>
    </row>
    <row r="13" spans="1:10">
      <c r="A13" s="156" t="s">
        <v>154</v>
      </c>
      <c r="B13" s="156">
        <v>83</v>
      </c>
      <c r="C13" s="156">
        <v>0.16653596457101599</v>
      </c>
      <c r="D13" s="156">
        <v>2.0064574044700721E-3</v>
      </c>
      <c r="E13" s="156"/>
      <c r="F13" s="156"/>
      <c r="G13" s="154"/>
      <c r="H13" s="154"/>
      <c r="I13" s="154"/>
      <c r="J13" s="154"/>
    </row>
    <row r="14" spans="1:10" ht="13.5" thickBot="1">
      <c r="A14" s="157" t="s">
        <v>156</v>
      </c>
      <c r="B14" s="157">
        <v>84</v>
      </c>
      <c r="C14" s="157">
        <v>0.17725326474756847</v>
      </c>
      <c r="D14" s="157"/>
      <c r="E14" s="157"/>
      <c r="F14" s="157"/>
      <c r="G14" s="154"/>
      <c r="H14" s="154"/>
      <c r="I14" s="154"/>
      <c r="J14" s="154"/>
    </row>
    <row r="15" spans="1:10" ht="13.5" thickBot="1">
      <c r="A15" s="154"/>
      <c r="B15" s="154"/>
      <c r="C15" s="154"/>
      <c r="D15" s="154"/>
      <c r="E15" s="154"/>
      <c r="F15" s="154"/>
      <c r="G15" s="154"/>
      <c r="H15" s="154"/>
      <c r="I15" s="154"/>
      <c r="J15" s="154"/>
    </row>
    <row r="16" spans="1:10">
      <c r="A16" s="155"/>
      <c r="B16" s="155" t="s">
        <v>159</v>
      </c>
      <c r="C16" s="155" t="s">
        <v>144</v>
      </c>
      <c r="D16" s="155" t="s">
        <v>160</v>
      </c>
      <c r="E16" s="155" t="s">
        <v>161</v>
      </c>
      <c r="F16" s="155" t="s">
        <v>162</v>
      </c>
      <c r="G16" s="155" t="s">
        <v>163</v>
      </c>
      <c r="H16" s="155" t="s">
        <v>164</v>
      </c>
      <c r="I16" s="155" t="s">
        <v>165</v>
      </c>
      <c r="J16" s="154"/>
    </row>
    <row r="17" spans="1:10">
      <c r="A17" s="156" t="s">
        <v>166</v>
      </c>
      <c r="B17" s="156">
        <v>0.27743911149090295</v>
      </c>
      <c r="C17" s="156">
        <v>1.2233565354141862E-2</v>
      </c>
      <c r="D17" s="156">
        <v>22.678516316338776</v>
      </c>
      <c r="E17" s="156">
        <v>2.5238006080569439E-37</v>
      </c>
      <c r="F17" s="156">
        <v>0.25310704203337048</v>
      </c>
      <c r="G17" s="156">
        <v>0.30177118094843541</v>
      </c>
      <c r="H17" s="156">
        <v>0.25310704203337048</v>
      </c>
      <c r="I17" s="156">
        <v>0.30177118094843541</v>
      </c>
      <c r="J17" s="154"/>
    </row>
    <row r="18" spans="1:10" ht="13.5" thickBot="1">
      <c r="A18" s="157" t="s">
        <v>208</v>
      </c>
      <c r="B18" s="157">
        <v>3.0973141437505946E-3</v>
      </c>
      <c r="C18" s="157">
        <v>1.3401627130051432E-3</v>
      </c>
      <c r="D18" s="157">
        <v>2.3111478283150144</v>
      </c>
      <c r="E18" s="157">
        <v>2.3304807085158672E-2</v>
      </c>
      <c r="F18" s="157">
        <v>4.3178440869293426E-4</v>
      </c>
      <c r="G18" s="157">
        <v>5.7628438788082555E-3</v>
      </c>
      <c r="H18" s="157">
        <v>4.3178440869293426E-4</v>
      </c>
      <c r="I18" s="157">
        <v>5.7628438788082555E-3</v>
      </c>
      <c r="J18" s="154"/>
    </row>
    <row r="19" spans="1:10">
      <c r="A19" s="154"/>
      <c r="B19" s="154"/>
      <c r="C19" s="154"/>
      <c r="D19" s="154"/>
      <c r="E19" s="154"/>
      <c r="F19" s="154"/>
      <c r="G19" s="154"/>
      <c r="H19" s="154"/>
      <c r="I19" s="154"/>
      <c r="J19" s="154"/>
    </row>
    <row r="20" spans="1:10">
      <c r="A20" s="154"/>
      <c r="B20" s="154"/>
      <c r="C20" s="154"/>
      <c r="D20" s="154"/>
      <c r="E20" s="154"/>
      <c r="F20" s="154"/>
      <c r="G20" s="154"/>
      <c r="H20" s="154"/>
      <c r="I20" s="154"/>
      <c r="J20" s="154"/>
    </row>
    <row r="21" spans="1:10">
      <c r="A21" s="154"/>
      <c r="B21" s="154"/>
      <c r="C21" s="154"/>
      <c r="D21" s="154"/>
      <c r="E21" s="154"/>
      <c r="F21" s="154"/>
      <c r="G21" s="154"/>
      <c r="H21" s="154"/>
      <c r="I21" s="154"/>
      <c r="J21" s="154"/>
    </row>
    <row r="22" spans="1:10">
      <c r="A22" s="154"/>
      <c r="B22" s="154"/>
      <c r="C22" s="154"/>
      <c r="D22" s="154"/>
      <c r="E22" s="154"/>
      <c r="F22" s="154"/>
      <c r="G22" s="154"/>
      <c r="H22" s="154"/>
      <c r="I22" s="154"/>
      <c r="J22" s="154"/>
    </row>
    <row r="23" spans="1:10">
      <c r="A23" s="154"/>
      <c r="B23" s="154"/>
      <c r="C23" s="154"/>
      <c r="D23" s="154"/>
      <c r="E23" s="154"/>
      <c r="F23" s="154"/>
      <c r="G23" s="154"/>
      <c r="H23" s="154"/>
      <c r="I23" s="154"/>
      <c r="J23" s="154"/>
    </row>
    <row r="24" spans="1:10">
      <c r="A24" s="154"/>
      <c r="B24" s="154"/>
      <c r="C24" s="154"/>
      <c r="D24" s="154"/>
      <c r="E24" s="154"/>
      <c r="F24" s="154"/>
      <c r="G24" s="154"/>
      <c r="H24" s="154"/>
      <c r="I24" s="154"/>
      <c r="J24" s="154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K994"/>
  <sheetViews>
    <sheetView tabSelected="1" topLeftCell="Q1" zoomScaleNormal="100" workbookViewId="0">
      <selection activeCell="AC2" sqref="AC2"/>
    </sheetView>
  </sheetViews>
  <sheetFormatPr defaultColWidth="14.42578125" defaultRowHeight="15.75" customHeight="1"/>
  <cols>
    <col min="1" max="1" width="22.85546875" customWidth="1"/>
    <col min="2" max="2" width="18.28515625" customWidth="1"/>
    <col min="3" max="3" width="23.140625" customWidth="1"/>
    <col min="4" max="4" width="16.85546875" customWidth="1"/>
    <col min="5" max="5" width="25.28515625" customWidth="1"/>
    <col min="6" max="6" width="13.85546875" customWidth="1"/>
    <col min="7" max="7" width="14.85546875" customWidth="1"/>
    <col min="8" max="8" width="15.42578125" customWidth="1"/>
    <col min="9" max="9" width="18.42578125" customWidth="1"/>
    <col min="10" max="10" width="14.85546875" customWidth="1"/>
    <col min="11" max="11" width="18.140625" customWidth="1"/>
    <col min="12" max="12" width="14.7109375" customWidth="1"/>
    <col min="13" max="13" width="16.140625" customWidth="1"/>
    <col min="14" max="14" width="22.28515625" customWidth="1"/>
    <col min="15" max="15" width="16.140625" customWidth="1"/>
    <col min="16" max="16" width="14.7109375" customWidth="1"/>
    <col min="17" max="17" width="14.140625" customWidth="1"/>
    <col min="18" max="18" width="12.42578125" customWidth="1"/>
    <col min="19" max="19" width="15.28515625" customWidth="1"/>
    <col min="20" max="20" width="17.85546875" customWidth="1"/>
    <col min="21" max="21" width="18" customWidth="1"/>
    <col min="22" max="22" width="15.85546875" customWidth="1"/>
    <col min="23" max="23" width="16.42578125" customWidth="1"/>
    <col min="24" max="24" width="16" customWidth="1"/>
    <col min="25" max="25" width="23.7109375" customWidth="1"/>
    <col min="26" max="26" width="15.5703125" customWidth="1"/>
    <col min="27" max="27" width="18.140625" customWidth="1"/>
    <col min="28" max="28" width="17.7109375" customWidth="1"/>
    <col min="29" max="29" width="18.140625" customWidth="1"/>
    <col min="30" max="30" width="11.85546875" customWidth="1"/>
    <col min="31" max="31" width="22.140625" customWidth="1"/>
    <col min="32" max="32" width="8.7109375" customWidth="1"/>
    <col min="33" max="33" width="11.140625" customWidth="1"/>
    <col min="34" max="34" width="19.5703125" customWidth="1"/>
    <col min="35" max="37" width="8.7109375" customWidth="1"/>
    <col min="48" max="48" width="33.85546875" bestFit="1" customWidth="1"/>
    <col min="49" max="49" width="12" bestFit="1" customWidth="1"/>
  </cols>
  <sheetData>
    <row r="1" spans="1:63" ht="105.75" thickBot="1">
      <c r="A1" s="1" t="s">
        <v>0</v>
      </c>
      <c r="B1" s="121" t="s">
        <v>208</v>
      </c>
      <c r="C1" s="121" t="s">
        <v>209</v>
      </c>
      <c r="D1" s="2"/>
      <c r="E1" s="2"/>
      <c r="F1" s="3" t="s">
        <v>94</v>
      </c>
      <c r="G1" s="3" t="s">
        <v>95</v>
      </c>
      <c r="H1" s="2"/>
      <c r="K1" s="4" t="s">
        <v>96</v>
      </c>
      <c r="L1" s="4" t="s">
        <v>97</v>
      </c>
      <c r="M1" s="2"/>
      <c r="N1" s="5" t="s">
        <v>98</v>
      </c>
      <c r="O1" s="5" t="s">
        <v>99</v>
      </c>
      <c r="P1" s="5" t="s">
        <v>100</v>
      </c>
      <c r="Q1" s="6" t="s">
        <v>101</v>
      </c>
      <c r="R1" s="7" t="s">
        <v>102</v>
      </c>
      <c r="S1" s="8" t="s">
        <v>103</v>
      </c>
      <c r="T1" s="9" t="s">
        <v>104</v>
      </c>
      <c r="U1" s="9" t="s">
        <v>105</v>
      </c>
      <c r="V1" s="10" t="s">
        <v>106</v>
      </c>
      <c r="W1" s="10" t="s">
        <v>107</v>
      </c>
      <c r="X1" s="10" t="s">
        <v>108</v>
      </c>
      <c r="Y1" s="11" t="s">
        <v>109</v>
      </c>
      <c r="Z1" s="12" t="s">
        <v>110</v>
      </c>
      <c r="AA1" s="150" t="s">
        <v>221</v>
      </c>
      <c r="AB1" s="143" t="s">
        <v>218</v>
      </c>
      <c r="AC1" s="148" t="s">
        <v>219</v>
      </c>
      <c r="AD1" s="147" t="s">
        <v>220</v>
      </c>
      <c r="AF1" s="2"/>
      <c r="AG1" s="13" t="s">
        <v>111</v>
      </c>
      <c r="AI1" s="119"/>
      <c r="AJ1" s="120" t="s">
        <v>204</v>
      </c>
      <c r="AK1" s="120" t="s">
        <v>205</v>
      </c>
      <c r="AL1" s="121" t="s">
        <v>206</v>
      </c>
      <c r="AM1" s="121" t="s">
        <v>207</v>
      </c>
      <c r="AQ1" s="162" t="s">
        <v>225</v>
      </c>
      <c r="AR1" s="162" t="s">
        <v>241</v>
      </c>
      <c r="AS1" t="s">
        <v>240</v>
      </c>
      <c r="AU1" s="158" t="s">
        <v>227</v>
      </c>
      <c r="AV1" s="143"/>
      <c r="BC1" s="141" t="s">
        <v>239</v>
      </c>
      <c r="BG1" s="119"/>
      <c r="BH1" s="120" t="s">
        <v>204</v>
      </c>
      <c r="BI1" s="120" t="s">
        <v>205</v>
      </c>
      <c r="BJ1" s="121" t="s">
        <v>206</v>
      </c>
      <c r="BK1" s="121" t="s">
        <v>207</v>
      </c>
    </row>
    <row r="2" spans="1:63" thickBot="1">
      <c r="A2" s="115" t="s">
        <v>14</v>
      </c>
      <c r="B2" s="133">
        <v>5.8</v>
      </c>
      <c r="C2" s="118">
        <f t="shared" ref="C2:C33" si="0">(BJ2/BI2)</f>
        <v>0.36302585758268696</v>
      </c>
      <c r="D2" s="14"/>
      <c r="E2" s="2"/>
      <c r="F2" s="15">
        <f t="shared" ref="F2:F86" si="1">B2^2</f>
        <v>33.64</v>
      </c>
      <c r="G2" s="16">
        <f t="shared" ref="G2:G86" si="2">B2*C2</f>
        <v>2.1055499739795844</v>
      </c>
      <c r="H2" s="2"/>
      <c r="K2" s="17">
        <v>0.114584446023241</v>
      </c>
      <c r="L2" s="17">
        <f t="shared" ref="L2:L86" si="3">$K$2*B2</f>
        <v>0.66458978693479775</v>
      </c>
      <c r="M2" s="17">
        <f>SUMXMY2(C2:C86,L2:L86)</f>
        <v>50.693246421102806</v>
      </c>
      <c r="N2" s="18">
        <f t="shared" ref="N2:N86" si="4">(C2-$B$114-($B$113*B2))^2</f>
        <v>4.8300888128278378E-3</v>
      </c>
      <c r="O2" s="19">
        <f t="shared" ref="O2:O43" si="5">(B2-$B$91)</f>
        <v>-2.5776470588235307</v>
      </c>
      <c r="P2" s="19">
        <f t="shared" ref="P2:P86" si="6">(B2-$B$91)^2</f>
        <v>6.6442643598615989</v>
      </c>
      <c r="Q2" s="20">
        <f t="shared" ref="Q2:Q86" si="7">$B$114+$B$113*B2</f>
        <v>0.29352701721230495</v>
      </c>
      <c r="R2" s="144">
        <f t="shared" ref="R2:R29" si="8">C2-Q2</f>
        <v>6.9498840370382009E-2</v>
      </c>
      <c r="S2" s="21">
        <f t="shared" ref="S2:S86" si="9">R2*R2</f>
        <v>4.8300888128278404E-3</v>
      </c>
      <c r="T2" s="22">
        <f t="shared" ref="T2:T85" si="10">R3-R2</f>
        <v>-9.8185707138551792E-2</v>
      </c>
      <c r="U2" s="23">
        <f t="shared" ref="U2:U86" si="11">T2*T2</f>
        <v>9.6404330862974608E-3</v>
      </c>
      <c r="V2" s="24">
        <f t="shared" ref="V2:V86" si="12">(SUM($S$2:$S$86)/84)*(1-(1/84)-((P2)/SUM($P$2:$P$87)))</f>
        <v>1.9410918532479827E-3</v>
      </c>
      <c r="W2" s="25">
        <f t="shared" ref="W2:W86" si="13">SQRT(V2)</f>
        <v>4.405782397313765E-2</v>
      </c>
      <c r="X2" s="25">
        <f t="shared" ref="X2:X86" si="14">R2/W2</f>
        <v>1.577446049372659</v>
      </c>
      <c r="Y2" s="26">
        <f>(Q2-$B$114-$B$113*B2)^2</f>
        <v>3.009265538105056E-34</v>
      </c>
      <c r="Z2" s="15">
        <f t="shared" ref="Z2:Z86" si="15">P2-AG2</f>
        <v>-2263.0334435986151</v>
      </c>
      <c r="AA2" s="149">
        <f>(R2-AB$2)/AD$2</f>
        <v>1.5402639356151928</v>
      </c>
      <c r="AB2" s="145">
        <f>1/86*SUM(R2:R86)</f>
        <v>1.0437497119127918E-3</v>
      </c>
      <c r="AC2">
        <f>(1/(85-1))*(SUM(S2:S86)-(1/85)*POWER(SUM(R2:R86),2))</f>
        <v>1.9752460697743945E-3</v>
      </c>
      <c r="AD2" s="2">
        <f>(SQRT(AC2))</f>
        <v>4.4443740501609388E-2</v>
      </c>
      <c r="AF2" s="2"/>
      <c r="AG2" s="27">
        <f>96*((13.24-B91)^2)</f>
        <v>2269.6777079584767</v>
      </c>
      <c r="AI2" s="122">
        <f>(AJ2/AK2)</f>
        <v>2.3537096572109398E-2</v>
      </c>
      <c r="AJ2" s="123">
        <v>50158</v>
      </c>
      <c r="AK2" s="124">
        <v>2131019</v>
      </c>
      <c r="AL2" s="125">
        <f>59202+714413</f>
        <v>773615</v>
      </c>
      <c r="AM2">
        <f>AL2/AK2</f>
        <v>0.36302585758268696</v>
      </c>
      <c r="AQ2" s="163">
        <v>6.9498840370382009E-2</v>
      </c>
      <c r="AR2" s="164">
        <f>IF(OR(AQ2&lt;QUARTILE(AQ$2:AQ$87,1)-1.5*AS$2, AQ2&gt;QUARTILE(AQ$2:AQ$87,3)+1.5*AS$2),1,0)</f>
        <v>0</v>
      </c>
      <c r="AS2" s="145">
        <f>QUARTILE(AQ2:AQ87, 3)-QUARTILE(AQ2:AQ87,1)</f>
        <v>5.4342186306421125E-2</v>
      </c>
      <c r="AV2" s="143" t="s">
        <v>228</v>
      </c>
      <c r="AW2" s="141">
        <v>0.95</v>
      </c>
      <c r="AZ2" s="145">
        <v>6.9498840370381995E-2</v>
      </c>
      <c r="BB2">
        <v>3.8424652752923137E-2</v>
      </c>
      <c r="BC2">
        <f>$BB$2+BB$3*BD2</f>
        <v>-7.3114251376720008E-2</v>
      </c>
      <c r="BD2" s="133">
        <v>5.8</v>
      </c>
      <c r="BG2" s="122">
        <f>(BH2/BI2)</f>
        <v>2.3537096572109398E-2</v>
      </c>
      <c r="BH2" s="123">
        <v>50158</v>
      </c>
      <c r="BI2" s="124">
        <v>2131019</v>
      </c>
      <c r="BJ2" s="125">
        <f>59202+714413</f>
        <v>773615</v>
      </c>
      <c r="BK2">
        <f>BJ2/BI2</f>
        <v>0.36302585758268696</v>
      </c>
    </row>
    <row r="3" spans="1:63" thickBot="1">
      <c r="A3" s="115" t="s">
        <v>83</v>
      </c>
      <c r="B3" s="133">
        <v>10.9</v>
      </c>
      <c r="C3" s="118">
        <f t="shared" si="0"/>
        <v>0.28294449616011169</v>
      </c>
      <c r="D3" s="14"/>
      <c r="E3" s="2"/>
      <c r="F3" s="15">
        <f t="shared" si="1"/>
        <v>118.81</v>
      </c>
      <c r="G3" s="16">
        <f t="shared" si="2"/>
        <v>3.0840950081452174</v>
      </c>
      <c r="H3" s="2"/>
      <c r="K3" s="2"/>
      <c r="L3" s="17">
        <f t="shared" si="3"/>
        <v>1.248970461653327</v>
      </c>
      <c r="M3" s="2"/>
      <c r="N3" s="18">
        <f t="shared" si="4"/>
        <v>8.2293632497472424E-4</v>
      </c>
      <c r="O3" s="19">
        <f t="shared" si="5"/>
        <v>2.5223529411764698</v>
      </c>
      <c r="P3" s="19">
        <f t="shared" si="6"/>
        <v>6.3622643598615873</v>
      </c>
      <c r="Q3" s="20">
        <f t="shared" si="7"/>
        <v>0.31163136292828147</v>
      </c>
      <c r="R3" s="144">
        <f t="shared" si="8"/>
        <v>-2.8686866768169783E-2</v>
      </c>
      <c r="S3" s="21">
        <f t="shared" si="9"/>
        <v>8.229363249747238E-4</v>
      </c>
      <c r="T3" s="22">
        <f t="shared" si="10"/>
        <v>9.6121961736020667E-2</v>
      </c>
      <c r="U3" s="23">
        <f t="shared" si="11"/>
        <v>9.2394315279810211E-3</v>
      </c>
      <c r="V3" s="24">
        <f t="shared" si="12"/>
        <v>1.9415907417287119E-3</v>
      </c>
      <c r="W3" s="25">
        <f t="shared" si="13"/>
        <v>4.4063485356116712E-2</v>
      </c>
      <c r="X3" s="25">
        <f t="shared" si="14"/>
        <v>-0.6510348996754427</v>
      </c>
      <c r="Y3" s="26">
        <f t="shared" ref="Y3:Y43" si="16">(Q3-$B$114-$B$113*B3)^2</f>
        <v>4.8148248609680896E-35</v>
      </c>
      <c r="Z3" s="15">
        <f t="shared" si="15"/>
        <v>6.3622643598615873</v>
      </c>
      <c r="AA3" s="149">
        <f t="shared" ref="AA3:AA66" si="17">(R3-AB$2)/AD$2</f>
        <v>-0.66894946610099071</v>
      </c>
      <c r="AD3" s="2"/>
      <c r="AF3" s="2"/>
      <c r="AG3" s="2"/>
      <c r="AI3" s="122">
        <f t="shared" ref="AI3:AI66" si="18">(AJ3/AK3)</f>
        <v>2.3309073983963442E-2</v>
      </c>
      <c r="AJ3" s="123">
        <v>17628</v>
      </c>
      <c r="AK3" s="126">
        <v>756272</v>
      </c>
      <c r="AL3" s="125">
        <v>213983</v>
      </c>
      <c r="AM3">
        <f t="shared" ref="AM3:AM66" si="19">AL3/AK3</f>
        <v>0.28294449616011169</v>
      </c>
      <c r="AQ3" s="163">
        <v>-2.8686866768169783E-2</v>
      </c>
      <c r="AR3" s="164">
        <f t="shared" ref="AR3:AR66" si="20">IF(OR(AQ3&lt;QUARTILE(AQ$2:AQ$87,1)-1.5*AS$2, AQ3&gt;QUARTILE(AQ$2:AQ$87,3)+1.5*AS$2),1,0)</f>
        <v>0</v>
      </c>
      <c r="AV3" s="141" t="s">
        <v>229</v>
      </c>
      <c r="AW3">
        <v>0.99</v>
      </c>
      <c r="AZ3" s="145">
        <v>-2.8686866768169783E-2</v>
      </c>
      <c r="BB3" s="161">
        <v>-1.9230845539593644E-2</v>
      </c>
      <c r="BC3">
        <f t="shared" ref="BC3:BC66" si="21">$BB$2+BB$3*BD3</f>
        <v>-0.17119156362864757</v>
      </c>
      <c r="BD3" s="133">
        <v>10.9</v>
      </c>
      <c r="BG3" s="122">
        <f t="shared" ref="BG3:BG66" si="22">(BH3/BI3)</f>
        <v>2.3309073983963442E-2</v>
      </c>
      <c r="BH3" s="123">
        <v>17628</v>
      </c>
      <c r="BI3" s="126">
        <v>756272</v>
      </c>
      <c r="BJ3" s="125">
        <v>213983</v>
      </c>
      <c r="BK3">
        <f t="shared" ref="BK3:BK66" si="23">BJ3/BI3</f>
        <v>0.28294449616011169</v>
      </c>
    </row>
    <row r="4" spans="1:63" thickBot="1">
      <c r="A4" s="115" t="s">
        <v>66</v>
      </c>
      <c r="B4" s="133">
        <v>12.7</v>
      </c>
      <c r="C4" s="118">
        <f t="shared" si="0"/>
        <v>0.38545622697235937</v>
      </c>
      <c r="D4" s="14"/>
      <c r="E4" s="2"/>
      <c r="F4" s="15">
        <f t="shared" si="1"/>
        <v>161.29</v>
      </c>
      <c r="G4" s="16">
        <f t="shared" si="2"/>
        <v>4.8952940825489639</v>
      </c>
      <c r="H4" s="2"/>
      <c r="K4" s="2"/>
      <c r="L4" s="17">
        <f t="shared" si="3"/>
        <v>1.4552224644951606</v>
      </c>
      <c r="M4" s="2"/>
      <c r="N4" s="18">
        <f t="shared" si="4"/>
        <v>4.5474920333230676E-3</v>
      </c>
      <c r="O4" s="19">
        <f t="shared" si="5"/>
        <v>4.3223529411764687</v>
      </c>
      <c r="P4" s="19">
        <f t="shared" si="6"/>
        <v>18.682734948096869</v>
      </c>
      <c r="Q4" s="20">
        <f t="shared" si="7"/>
        <v>0.31802113200450849</v>
      </c>
      <c r="R4" s="144">
        <f t="shared" si="8"/>
        <v>6.7435094967850884E-2</v>
      </c>
      <c r="S4" s="21">
        <f t="shared" si="9"/>
        <v>4.5474920333230676E-3</v>
      </c>
      <c r="T4" s="22">
        <f t="shared" si="10"/>
        <v>-9.8682274878901022E-2</v>
      </c>
      <c r="U4" s="23">
        <f t="shared" si="11"/>
        <v>9.7381913752749797E-3</v>
      </c>
      <c r="V4" s="24">
        <f t="shared" si="12"/>
        <v>1.9197944975668938E-3</v>
      </c>
      <c r="W4" s="25">
        <f t="shared" si="13"/>
        <v>4.381545957269984E-2</v>
      </c>
      <c r="X4" s="25">
        <f t="shared" si="14"/>
        <v>1.5390708125738286</v>
      </c>
      <c r="Y4" s="26">
        <f t="shared" si="16"/>
        <v>0</v>
      </c>
      <c r="Z4" s="15">
        <f t="shared" si="15"/>
        <v>18.682734948096869</v>
      </c>
      <c r="AA4" s="149">
        <f t="shared" si="17"/>
        <v>1.4938289285874564</v>
      </c>
      <c r="AB4" s="148" t="s">
        <v>222</v>
      </c>
      <c r="AC4" s="148" t="s">
        <v>216</v>
      </c>
      <c r="AD4" s="61"/>
      <c r="AE4" s="151"/>
      <c r="AF4" s="2"/>
      <c r="AG4" s="2"/>
      <c r="AI4" s="122">
        <f t="shared" si="18"/>
        <v>2.1312967078864542E-2</v>
      </c>
      <c r="AJ4" s="123">
        <v>21432</v>
      </c>
      <c r="AK4" s="126">
        <v>1005585</v>
      </c>
      <c r="AL4" s="125">
        <v>387609</v>
      </c>
      <c r="AM4">
        <f t="shared" si="19"/>
        <v>0.38545622697235937</v>
      </c>
      <c r="AQ4" s="163">
        <v>6.7435094967850884E-2</v>
      </c>
      <c r="AR4" s="164">
        <f t="shared" si="20"/>
        <v>0</v>
      </c>
      <c r="AZ4" s="145">
        <v>6.7435094967850884E-2</v>
      </c>
      <c r="BC4">
        <f t="shared" si="21"/>
        <v>-0.20580708559991612</v>
      </c>
      <c r="BD4" s="133">
        <v>12.7</v>
      </c>
      <c r="BG4" s="122">
        <f t="shared" si="22"/>
        <v>2.1312967078864542E-2</v>
      </c>
      <c r="BH4" s="123">
        <v>21432</v>
      </c>
      <c r="BI4" s="126">
        <v>1005585</v>
      </c>
      <c r="BJ4" s="125">
        <v>387609</v>
      </c>
      <c r="BK4">
        <f t="shared" si="23"/>
        <v>0.38545622697235937</v>
      </c>
    </row>
    <row r="5" spans="1:63" ht="15.75" customHeight="1" thickBot="1">
      <c r="A5" s="115" t="s">
        <v>37</v>
      </c>
      <c r="B5" s="133">
        <v>6.1</v>
      </c>
      <c r="C5" s="118">
        <f t="shared" si="0"/>
        <v>0.26334479881395934</v>
      </c>
      <c r="D5" s="14"/>
      <c r="E5" s="2"/>
      <c r="F5" s="15">
        <f t="shared" si="1"/>
        <v>37.209999999999994</v>
      </c>
      <c r="G5" s="16">
        <f t="shared" si="2"/>
        <v>1.6064032727651518</v>
      </c>
      <c r="H5" s="2"/>
      <c r="K5" s="2"/>
      <c r="L5" s="17">
        <f t="shared" si="3"/>
        <v>0.69896512074177009</v>
      </c>
      <c r="M5" s="2"/>
      <c r="N5" s="18">
        <f t="shared" si="4"/>
        <v>9.7638625239353509E-4</v>
      </c>
      <c r="O5" s="19">
        <f t="shared" si="5"/>
        <v>-2.2776470588235309</v>
      </c>
      <c r="P5" s="19">
        <f t="shared" si="6"/>
        <v>5.1876761245674805</v>
      </c>
      <c r="Q5" s="20">
        <f t="shared" si="7"/>
        <v>0.29459197872500947</v>
      </c>
      <c r="R5" s="144">
        <f t="shared" si="8"/>
        <v>-3.1247179911050138E-2</v>
      </c>
      <c r="S5" s="21">
        <f t="shared" si="9"/>
        <v>9.7638625239353531E-4</v>
      </c>
      <c r="T5" s="22">
        <f t="shared" si="10"/>
        <v>6.5062952147540654E-2</v>
      </c>
      <c r="U5" s="23">
        <f t="shared" si="11"/>
        <v>4.2331877421531647E-3</v>
      </c>
      <c r="V5" s="24">
        <f t="shared" si="12"/>
        <v>1.9436687152754786E-3</v>
      </c>
      <c r="W5" s="25">
        <f t="shared" si="13"/>
        <v>4.4087058364961011E-2</v>
      </c>
      <c r="X5" s="25">
        <f t="shared" si="14"/>
        <v>-0.708760826190309</v>
      </c>
      <c r="Y5" s="26">
        <f t="shared" si="16"/>
        <v>1.2037062152420224E-35</v>
      </c>
      <c r="Z5" s="15">
        <f t="shared" si="15"/>
        <v>5.1876761245674805</v>
      </c>
      <c r="AA5" s="149">
        <f t="shared" si="17"/>
        <v>-0.72655742425175973</v>
      </c>
      <c r="AB5" s="152">
        <v>0.45079999999999998</v>
      </c>
      <c r="AC5" s="152">
        <v>0.27489999999999998</v>
      </c>
      <c r="AD5" s="147" t="s">
        <v>223</v>
      </c>
      <c r="AE5" s="182" t="s">
        <v>224</v>
      </c>
      <c r="AF5" s="2"/>
      <c r="AG5" s="2"/>
      <c r="AI5" s="122">
        <f t="shared" si="18"/>
        <v>2.2168817189592894E-2</v>
      </c>
      <c r="AJ5" s="123">
        <v>21069</v>
      </c>
      <c r="AK5" s="126">
        <v>950389</v>
      </c>
      <c r="AL5" s="125">
        <v>250280</v>
      </c>
      <c r="AM5">
        <f t="shared" si="19"/>
        <v>0.26334479881395934</v>
      </c>
      <c r="AQ5" s="163">
        <v>-3.1247179911050138E-2</v>
      </c>
      <c r="AR5" s="164">
        <f t="shared" si="20"/>
        <v>0</v>
      </c>
      <c r="AV5" s="141" t="s">
        <v>230</v>
      </c>
      <c r="AW5">
        <v>85</v>
      </c>
      <c r="AZ5" s="145">
        <v>-3.1247179911050138E-2</v>
      </c>
      <c r="BC5">
        <f t="shared" si="21"/>
        <v>-7.888350503859809E-2</v>
      </c>
      <c r="BD5" s="133">
        <v>6.1</v>
      </c>
      <c r="BG5" s="122">
        <f t="shared" si="22"/>
        <v>2.2168817189592894E-2</v>
      </c>
      <c r="BH5" s="123">
        <v>21069</v>
      </c>
      <c r="BI5" s="126">
        <v>950389</v>
      </c>
      <c r="BJ5" s="125">
        <v>250280</v>
      </c>
      <c r="BK5">
        <f t="shared" si="23"/>
        <v>0.26334479881395934</v>
      </c>
    </row>
    <row r="6" spans="1:63" ht="18">
      <c r="A6" s="115" t="s">
        <v>55</v>
      </c>
      <c r="B6" s="133">
        <v>5.3</v>
      </c>
      <c r="C6" s="118">
        <f t="shared" si="0"/>
        <v>0.32556785359428797</v>
      </c>
      <c r="D6" s="28"/>
      <c r="E6" s="2"/>
      <c r="F6" s="15">
        <f t="shared" si="1"/>
        <v>28.09</v>
      </c>
      <c r="G6" s="16">
        <f t="shared" si="2"/>
        <v>1.7255096240497261</v>
      </c>
      <c r="H6" s="2"/>
      <c r="K6" s="2"/>
      <c r="L6" s="17">
        <f t="shared" si="3"/>
        <v>0.60729756392317724</v>
      </c>
      <c r="M6" s="2"/>
      <c r="N6" s="18">
        <f t="shared" si="4"/>
        <v>1.1435064519502017E-3</v>
      </c>
      <c r="O6" s="19">
        <f t="shared" si="5"/>
        <v>-3.0776470588235307</v>
      </c>
      <c r="P6" s="19">
        <f t="shared" si="6"/>
        <v>9.4719114186851296</v>
      </c>
      <c r="Q6" s="20">
        <f t="shared" si="7"/>
        <v>0.29175208135779745</v>
      </c>
      <c r="R6" s="144">
        <f t="shared" si="8"/>
        <v>3.3815772236490516E-2</v>
      </c>
      <c r="S6" s="21">
        <f t="shared" si="9"/>
        <v>1.1435064519502028E-3</v>
      </c>
      <c r="T6" s="22">
        <f t="shared" si="10"/>
        <v>1.3614645345410292E-2</v>
      </c>
      <c r="U6" s="23">
        <f t="shared" si="11"/>
        <v>1.8535856788130215E-4</v>
      </c>
      <c r="V6" s="24">
        <f t="shared" si="12"/>
        <v>1.9360894399670797E-3</v>
      </c>
      <c r="W6" s="25">
        <f t="shared" si="13"/>
        <v>4.4001016351523967E-2</v>
      </c>
      <c r="X6" s="25">
        <f t="shared" si="14"/>
        <v>0.76852252607840754</v>
      </c>
      <c r="Y6" s="26">
        <f t="shared" si="16"/>
        <v>1.9259299443872359E-34</v>
      </c>
      <c r="Z6" s="15">
        <f t="shared" si="15"/>
        <v>9.4719114186851296</v>
      </c>
      <c r="AA6" s="149">
        <f t="shared" si="17"/>
        <v>0.73738218598839567</v>
      </c>
      <c r="AB6" s="151"/>
      <c r="AC6" s="151"/>
      <c r="AD6" s="61"/>
      <c r="AE6" s="182"/>
      <c r="AF6" s="2"/>
      <c r="AG6" s="2"/>
      <c r="AI6" s="122">
        <f t="shared" si="18"/>
        <v>1.7248356929942994E-2</v>
      </c>
      <c r="AJ6" s="123">
        <v>26126</v>
      </c>
      <c r="AK6" s="126">
        <v>1514695</v>
      </c>
      <c r="AL6" s="127">
        <v>493136</v>
      </c>
      <c r="AM6">
        <f t="shared" si="19"/>
        <v>0.32556785359428797</v>
      </c>
      <c r="AQ6" s="163">
        <v>3.3815772236490516E-2</v>
      </c>
      <c r="AR6" s="164">
        <f t="shared" si="20"/>
        <v>0</v>
      </c>
      <c r="AV6" s="141" t="s">
        <v>234</v>
      </c>
      <c r="AW6" s="145">
        <f>AVERAGE(AQ2:AQ86)</f>
        <v>1.0560291202882364E-3</v>
      </c>
      <c r="AZ6" s="145">
        <v>3.3815772236490516E-2</v>
      </c>
      <c r="BC6">
        <f t="shared" si="21"/>
        <v>-6.3498828606923186E-2</v>
      </c>
      <c r="BD6" s="133">
        <v>5.3</v>
      </c>
      <c r="BG6" s="122">
        <f t="shared" si="22"/>
        <v>1.7248356929942994E-2</v>
      </c>
      <c r="BH6" s="123">
        <v>26126</v>
      </c>
      <c r="BI6" s="126">
        <v>1514695</v>
      </c>
      <c r="BJ6" s="127">
        <v>493136</v>
      </c>
      <c r="BK6">
        <f t="shared" si="23"/>
        <v>0.32556785359428797</v>
      </c>
    </row>
    <row r="7" spans="1:63" thickBot="1">
      <c r="A7" s="115" t="s">
        <v>86</v>
      </c>
      <c r="B7" s="133">
        <v>7.1</v>
      </c>
      <c r="C7" s="118">
        <f t="shared" si="0"/>
        <v>0.34557226801592528</v>
      </c>
      <c r="D7" s="28"/>
      <c r="E7" s="2"/>
      <c r="F7" s="15">
        <f t="shared" si="1"/>
        <v>50.41</v>
      </c>
      <c r="G7" s="16">
        <f t="shared" si="2"/>
        <v>2.4535631029130696</v>
      </c>
      <c r="H7" s="2"/>
      <c r="K7" s="2"/>
      <c r="L7" s="17">
        <f t="shared" si="3"/>
        <v>0.813549566765011</v>
      </c>
      <c r="M7" s="2"/>
      <c r="N7" s="18">
        <f t="shared" si="4"/>
        <v>2.2496445119934852E-3</v>
      </c>
      <c r="O7" s="19">
        <f t="shared" si="5"/>
        <v>-1.2776470588235309</v>
      </c>
      <c r="P7" s="19">
        <f t="shared" si="6"/>
        <v>1.6323820069204191</v>
      </c>
      <c r="Q7" s="20">
        <f t="shared" si="7"/>
        <v>0.29814185043402447</v>
      </c>
      <c r="R7" s="144">
        <f t="shared" si="8"/>
        <v>4.7430417581900808E-2</v>
      </c>
      <c r="S7" s="21">
        <f t="shared" si="9"/>
        <v>2.2496445119934852E-3</v>
      </c>
      <c r="T7" s="22">
        <f t="shared" si="10"/>
        <v>-3.4291578081355134E-2</v>
      </c>
      <c r="U7" s="23">
        <f t="shared" si="11"/>
        <v>1.1759123273096758E-3</v>
      </c>
      <c r="V7" s="24">
        <f t="shared" si="12"/>
        <v>1.9499584148531316E-3</v>
      </c>
      <c r="W7" s="25">
        <f t="shared" si="13"/>
        <v>4.4158333470061248E-2</v>
      </c>
      <c r="X7" s="25">
        <f t="shared" si="14"/>
        <v>1.0740989039828233</v>
      </c>
      <c r="Y7" s="26">
        <f t="shared" si="16"/>
        <v>1.2037062152420224E-35</v>
      </c>
      <c r="Z7" s="15">
        <f t="shared" si="15"/>
        <v>1.6323820069204191</v>
      </c>
      <c r="AA7" s="149">
        <f t="shared" si="17"/>
        <v>1.0437165582025725</v>
      </c>
      <c r="AB7" s="151"/>
      <c r="AC7" s="151"/>
      <c r="AD7" s="151"/>
      <c r="AE7" s="182"/>
      <c r="AF7" s="2"/>
      <c r="AG7" s="2"/>
      <c r="AI7" s="122">
        <f t="shared" si="18"/>
        <v>1.8916689006821773E-2</v>
      </c>
      <c r="AJ7" s="123">
        <v>21804</v>
      </c>
      <c r="AK7" s="126">
        <v>1152633</v>
      </c>
      <c r="AL7" s="125">
        <v>398318</v>
      </c>
      <c r="AM7">
        <f t="shared" si="19"/>
        <v>0.34557226801592528</v>
      </c>
      <c r="AQ7" s="163">
        <v>4.7430417581900808E-2</v>
      </c>
      <c r="AR7" s="164">
        <f t="shared" si="20"/>
        <v>0</v>
      </c>
      <c r="AV7" s="141" t="s">
        <v>231</v>
      </c>
      <c r="AW7">
        <f>_xlfn.STDEV.S(AQ2:AQ87)</f>
        <v>4.4443740501609388E-2</v>
      </c>
      <c r="AZ7" s="145">
        <v>4.7430417581900808E-2</v>
      </c>
      <c r="BC7">
        <f t="shared" si="21"/>
        <v>-9.8114350578191734E-2</v>
      </c>
      <c r="BD7" s="133">
        <v>7.1</v>
      </c>
      <c r="BG7" s="122">
        <f t="shared" si="22"/>
        <v>1.8916689006821773E-2</v>
      </c>
      <c r="BH7" s="123">
        <v>21804</v>
      </c>
      <c r="BI7" s="126">
        <v>1152633</v>
      </c>
      <c r="BJ7" s="125">
        <v>398318</v>
      </c>
      <c r="BK7">
        <f t="shared" si="23"/>
        <v>0.34557226801592528</v>
      </c>
    </row>
    <row r="8" spans="1:63" thickBot="1">
      <c r="A8" s="115" t="s">
        <v>19</v>
      </c>
      <c r="B8" s="133">
        <v>10.6</v>
      </c>
      <c r="C8" s="118">
        <f t="shared" si="0"/>
        <v>0.32370524091612268</v>
      </c>
      <c r="D8" s="28"/>
      <c r="E8" s="2"/>
      <c r="F8" s="15">
        <f t="shared" si="1"/>
        <v>112.36</v>
      </c>
      <c r="G8" s="16">
        <f t="shared" si="2"/>
        <v>3.4312755537109005</v>
      </c>
      <c r="H8" s="2"/>
      <c r="I8" s="142" t="s">
        <v>215</v>
      </c>
      <c r="J8">
        <f>(SUM(U2:U86))/SUM(S2:S86)</f>
        <v>1.7543832124177128</v>
      </c>
      <c r="K8" s="2"/>
      <c r="L8" s="17">
        <f t="shared" si="3"/>
        <v>1.2145951278463545</v>
      </c>
      <c r="M8" s="2"/>
      <c r="N8" s="18">
        <f t="shared" si="4"/>
        <v>1.7262910342110002E-4</v>
      </c>
      <c r="O8" s="19">
        <f t="shared" si="5"/>
        <v>2.2223529411764691</v>
      </c>
      <c r="P8" s="19">
        <f t="shared" si="6"/>
        <v>4.9388525951557023</v>
      </c>
      <c r="Q8" s="20">
        <f t="shared" si="7"/>
        <v>0.31056640141557701</v>
      </c>
      <c r="R8" s="144">
        <f t="shared" si="8"/>
        <v>1.3138839500545674E-2</v>
      </c>
      <c r="S8" s="21">
        <f t="shared" si="9"/>
        <v>1.7262910342109928E-4</v>
      </c>
      <c r="T8" s="22">
        <f t="shared" si="10"/>
        <v>-1.6134024915531398E-2</v>
      </c>
      <c r="U8" s="23">
        <f t="shared" si="11"/>
        <v>2.6030675997498791E-4</v>
      </c>
      <c r="V8" s="24">
        <f t="shared" si="12"/>
        <v>1.9441089109937691E-3</v>
      </c>
      <c r="W8" s="25">
        <f t="shared" si="13"/>
        <v>4.4092050428549689E-2</v>
      </c>
      <c r="X8" s="25">
        <f t="shared" si="14"/>
        <v>0.29798658426731384</v>
      </c>
      <c r="Y8" s="26">
        <f t="shared" si="16"/>
        <v>7.7037197775489434E-34</v>
      </c>
      <c r="Z8" s="15">
        <f t="shared" si="15"/>
        <v>4.9388525951557023</v>
      </c>
      <c r="AA8" s="149">
        <f t="shared" si="17"/>
        <v>0.27214383065248293</v>
      </c>
      <c r="AB8" s="151"/>
      <c r="AC8" s="151"/>
      <c r="AD8" s="151"/>
      <c r="AE8" s="182"/>
      <c r="AF8" s="2"/>
      <c r="AG8" s="2"/>
      <c r="AI8" s="122">
        <f t="shared" si="18"/>
        <v>2.0793872391804701E-2</v>
      </c>
      <c r="AJ8" s="123">
        <v>27555</v>
      </c>
      <c r="AK8" s="126">
        <v>1325150</v>
      </c>
      <c r="AL8" s="125">
        <v>428958</v>
      </c>
      <c r="AM8">
        <f t="shared" si="19"/>
        <v>0.32370524091612268</v>
      </c>
      <c r="AQ8" s="163">
        <v>1.3138839500545674E-2</v>
      </c>
      <c r="AR8" s="164">
        <f t="shared" si="20"/>
        <v>0</v>
      </c>
      <c r="AV8" s="159" t="s">
        <v>232</v>
      </c>
      <c r="AW8">
        <f>ABS(_xlfn.NORM.INV((1-AW2)/2,0,1))</f>
        <v>1.9599639845400536</v>
      </c>
      <c r="AZ8" s="145">
        <v>1.3138839500545674E-2</v>
      </c>
      <c r="BC8">
        <f t="shared" si="21"/>
        <v>-0.16542230996676949</v>
      </c>
      <c r="BD8" s="133">
        <v>10.6</v>
      </c>
      <c r="BG8" s="122">
        <f t="shared" si="22"/>
        <v>2.0793872391804701E-2</v>
      </c>
      <c r="BH8" s="123">
        <v>27555</v>
      </c>
      <c r="BI8" s="126">
        <v>1325150</v>
      </c>
      <c r="BJ8" s="125">
        <v>428958</v>
      </c>
      <c r="BK8">
        <f t="shared" si="23"/>
        <v>0.32370524091612268</v>
      </c>
    </row>
    <row r="9" spans="1:63" thickBot="1">
      <c r="A9" s="115" t="s">
        <v>39</v>
      </c>
      <c r="B9" s="133">
        <v>5</v>
      </c>
      <c r="C9" s="118">
        <f t="shared" si="0"/>
        <v>0.28769193443010727</v>
      </c>
      <c r="D9" s="28"/>
      <c r="E9" s="2"/>
      <c r="F9" s="15">
        <f t="shared" si="1"/>
        <v>25</v>
      </c>
      <c r="G9" s="16">
        <f t="shared" si="2"/>
        <v>1.4384596721505363</v>
      </c>
      <c r="H9" s="2"/>
      <c r="I9" s="142" t="s">
        <v>216</v>
      </c>
      <c r="J9">
        <f>(2-J8)/2</f>
        <v>0.12280839379114361</v>
      </c>
      <c r="K9" s="2" t="s">
        <v>217</v>
      </c>
      <c r="L9" s="17">
        <f t="shared" si="3"/>
        <v>0.57292223011620502</v>
      </c>
      <c r="M9" s="2"/>
      <c r="N9" s="18">
        <f t="shared" si="4"/>
        <v>8.9711356701430778E-6</v>
      </c>
      <c r="O9" s="19">
        <f t="shared" si="5"/>
        <v>-3.3776470588235306</v>
      </c>
      <c r="P9" s="19">
        <f t="shared" si="6"/>
        <v>11.408499653979247</v>
      </c>
      <c r="Q9" s="20">
        <f t="shared" si="7"/>
        <v>0.29068711984509299</v>
      </c>
      <c r="R9" s="144">
        <f t="shared" si="8"/>
        <v>-2.9951854149857238E-3</v>
      </c>
      <c r="S9" s="21">
        <f t="shared" si="9"/>
        <v>8.9711356701432015E-6</v>
      </c>
      <c r="T9" s="22">
        <f t="shared" si="10"/>
        <v>-1.5748081796272961E-3</v>
      </c>
      <c r="U9" s="23">
        <f t="shared" si="11"/>
        <v>2.480020802621038E-6</v>
      </c>
      <c r="V9" s="24">
        <f t="shared" si="12"/>
        <v>1.9326634060574915E-3</v>
      </c>
      <c r="W9" s="25">
        <f t="shared" si="13"/>
        <v>4.3962067809163521E-2</v>
      </c>
      <c r="X9" s="25">
        <f t="shared" si="14"/>
        <v>-6.8131131319564608E-2</v>
      </c>
      <c r="Y9" s="26">
        <f t="shared" si="16"/>
        <v>4.3333423748712807E-34</v>
      </c>
      <c r="Z9" s="15">
        <f t="shared" si="15"/>
        <v>11.408499653979247</v>
      </c>
      <c r="AA9" s="149">
        <f t="shared" si="17"/>
        <v>-9.0877479737608013E-2</v>
      </c>
      <c r="AB9" s="151"/>
      <c r="AC9" s="151"/>
      <c r="AD9" s="61"/>
      <c r="AE9" s="182"/>
      <c r="AF9" s="2"/>
      <c r="AG9" s="2"/>
      <c r="AI9" s="122">
        <f t="shared" si="18"/>
        <v>2.0512159982048517E-2</v>
      </c>
      <c r="AJ9" s="123">
        <v>50642</v>
      </c>
      <c r="AK9" s="126">
        <v>2468877</v>
      </c>
      <c r="AL9" s="125">
        <v>710276</v>
      </c>
      <c r="AM9">
        <f t="shared" si="19"/>
        <v>0.28769193443010727</v>
      </c>
      <c r="AQ9" s="163">
        <v>-2.9951854149857238E-3</v>
      </c>
      <c r="AR9" s="164">
        <f t="shared" si="20"/>
        <v>0</v>
      </c>
      <c r="AV9" s="159" t="s">
        <v>233</v>
      </c>
      <c r="AW9">
        <f>_xlfn.CHISQ.INV(1-AW3,AW5-1)</f>
        <v>56.812980693956469</v>
      </c>
      <c r="AZ9" s="145">
        <v>-2.9951854149857238E-3</v>
      </c>
      <c r="BC9">
        <f t="shared" si="21"/>
        <v>-5.7729574945045083E-2</v>
      </c>
      <c r="BD9" s="133">
        <v>5</v>
      </c>
      <c r="BG9" s="122">
        <f t="shared" si="22"/>
        <v>2.0512159982048517E-2</v>
      </c>
      <c r="BH9" s="123">
        <v>50642</v>
      </c>
      <c r="BI9" s="126">
        <v>2468877</v>
      </c>
      <c r="BJ9" s="125">
        <v>710276</v>
      </c>
      <c r="BK9">
        <f t="shared" si="23"/>
        <v>0.28769193443010727</v>
      </c>
    </row>
    <row r="10" spans="1:63" thickBot="1">
      <c r="A10" s="115" t="s">
        <v>34</v>
      </c>
      <c r="B10" s="133">
        <v>13.7</v>
      </c>
      <c r="C10" s="118">
        <f t="shared" si="0"/>
        <v>0.31700101011891046</v>
      </c>
      <c r="D10" s="28"/>
      <c r="E10" s="2"/>
      <c r="F10" s="15">
        <f t="shared" si="1"/>
        <v>187.68999999999997</v>
      </c>
      <c r="G10" s="16">
        <f t="shared" si="2"/>
        <v>4.3429138386290731</v>
      </c>
      <c r="H10" s="2"/>
      <c r="K10" s="2"/>
      <c r="L10" s="17">
        <f t="shared" si="3"/>
        <v>1.5698069105184016</v>
      </c>
      <c r="M10" s="2"/>
      <c r="N10" s="18">
        <f t="shared" si="4"/>
        <v>2.0884841454804094E-5</v>
      </c>
      <c r="O10" s="19">
        <f t="shared" si="5"/>
        <v>5.3223529411764687</v>
      </c>
      <c r="P10" s="19">
        <f t="shared" si="6"/>
        <v>28.327440830449806</v>
      </c>
      <c r="Q10" s="20">
        <f t="shared" si="7"/>
        <v>0.32157100371352348</v>
      </c>
      <c r="R10" s="144">
        <f t="shared" si="8"/>
        <v>-4.5699935946130199E-3</v>
      </c>
      <c r="S10" s="21">
        <f t="shared" si="9"/>
        <v>2.088484145480403E-5</v>
      </c>
      <c r="T10" s="22">
        <f t="shared" si="10"/>
        <v>2.0233164171423679E-2</v>
      </c>
      <c r="U10" s="23">
        <f t="shared" si="11"/>
        <v>4.0938093238778285E-4</v>
      </c>
      <c r="V10" s="24">
        <f t="shared" si="12"/>
        <v>1.9027319703870129E-3</v>
      </c>
      <c r="W10" s="25">
        <f t="shared" si="13"/>
        <v>4.3620316028050658E-2</v>
      </c>
      <c r="X10" s="25">
        <f t="shared" si="14"/>
        <v>-0.10476754894838958</v>
      </c>
      <c r="Y10" s="26">
        <f t="shared" si="16"/>
        <v>4.8148248609680896E-35</v>
      </c>
      <c r="Z10" s="15">
        <f t="shared" si="15"/>
        <v>28.327440830449806</v>
      </c>
      <c r="AA10" s="149">
        <f t="shared" si="17"/>
        <v>-0.12631122500417191</v>
      </c>
      <c r="AD10" s="2"/>
      <c r="AE10" s="182"/>
      <c r="AF10" s="2"/>
      <c r="AG10" s="2"/>
      <c r="AI10" s="122">
        <f t="shared" si="18"/>
        <v>1.9536940225770436E-2</v>
      </c>
      <c r="AJ10" s="123">
        <v>22049</v>
      </c>
      <c r="AK10" s="126">
        <v>1128580</v>
      </c>
      <c r="AL10" s="125">
        <v>357761</v>
      </c>
      <c r="AM10">
        <f t="shared" si="19"/>
        <v>0.31700101011891046</v>
      </c>
      <c r="AQ10" s="163">
        <v>-4.5699935946130199E-3</v>
      </c>
      <c r="AR10" s="164">
        <f t="shared" si="20"/>
        <v>0</v>
      </c>
      <c r="AV10" s="145"/>
      <c r="AZ10" s="145">
        <v>-4.5699935946130199E-3</v>
      </c>
      <c r="BC10">
        <f t="shared" si="21"/>
        <v>-0.22503793113950979</v>
      </c>
      <c r="BD10" s="133">
        <v>13.7</v>
      </c>
      <c r="BG10" s="122">
        <f t="shared" si="22"/>
        <v>1.9536940225770436E-2</v>
      </c>
      <c r="BH10" s="123">
        <v>22049</v>
      </c>
      <c r="BI10" s="126">
        <v>1128580</v>
      </c>
      <c r="BJ10" s="125">
        <v>357761</v>
      </c>
      <c r="BK10">
        <f t="shared" si="23"/>
        <v>0.31700101011891046</v>
      </c>
    </row>
    <row r="11" spans="1:63" ht="18">
      <c r="A11" s="115" t="s">
        <v>24</v>
      </c>
      <c r="B11" s="133">
        <v>6.3</v>
      </c>
      <c r="C11" s="118">
        <f t="shared" si="0"/>
        <v>0.31096512364362311</v>
      </c>
      <c r="D11" s="28"/>
      <c r="E11" s="2"/>
      <c r="F11" s="15">
        <f t="shared" si="1"/>
        <v>39.69</v>
      </c>
      <c r="G11" s="16">
        <f t="shared" si="2"/>
        <v>1.9590802789548256</v>
      </c>
      <c r="H11" s="2"/>
      <c r="L11" s="17">
        <f t="shared" si="3"/>
        <v>0.72188200994641827</v>
      </c>
      <c r="M11" s="2"/>
      <c r="N11" s="18">
        <f t="shared" si="4"/>
        <v>2.4533491251826651E-4</v>
      </c>
      <c r="O11" s="19">
        <f t="shared" si="5"/>
        <v>-2.0776470588235307</v>
      </c>
      <c r="P11" s="19">
        <f t="shared" si="6"/>
        <v>4.3166173010380682</v>
      </c>
      <c r="Q11" s="20">
        <f t="shared" si="7"/>
        <v>0.29530195306681245</v>
      </c>
      <c r="R11" s="144">
        <f t="shared" si="8"/>
        <v>1.5663170576810659E-2</v>
      </c>
      <c r="S11" s="21">
        <f t="shared" si="9"/>
        <v>2.4533491251826716E-4</v>
      </c>
      <c r="T11" s="22">
        <f t="shared" si="10"/>
        <v>-4.2729637262913733E-2</v>
      </c>
      <c r="U11" s="23">
        <f t="shared" si="11"/>
        <v>1.8258219006201859E-3</v>
      </c>
      <c r="V11" s="24">
        <f t="shared" si="12"/>
        <v>1.94520971248504E-3</v>
      </c>
      <c r="W11" s="25">
        <f t="shared" si="13"/>
        <v>4.4104531654752213E-2</v>
      </c>
      <c r="X11" s="25">
        <f t="shared" si="14"/>
        <v>0.35513744255173313</v>
      </c>
      <c r="Y11" s="26">
        <f t="shared" si="16"/>
        <v>4.3333423748712807E-34</v>
      </c>
      <c r="Z11" s="15">
        <f t="shared" si="15"/>
        <v>4.3166173010380682</v>
      </c>
      <c r="AA11" s="149">
        <f t="shared" si="17"/>
        <v>0.32894217948123583</v>
      </c>
      <c r="AD11" s="2"/>
      <c r="AE11" s="182"/>
      <c r="AF11" s="2"/>
      <c r="AG11" s="2"/>
      <c r="AI11" s="122">
        <f t="shared" si="18"/>
        <v>1.98650046330522E-2</v>
      </c>
      <c r="AJ11" s="123">
        <v>45385</v>
      </c>
      <c r="AK11" s="126">
        <v>2284671</v>
      </c>
      <c r="AL11" s="127">
        <v>710453</v>
      </c>
      <c r="AM11">
        <f t="shared" si="19"/>
        <v>0.31096512364362311</v>
      </c>
      <c r="AQ11" s="163">
        <v>1.5663170576810659E-2</v>
      </c>
      <c r="AR11" s="164">
        <f t="shared" si="20"/>
        <v>0</v>
      </c>
      <c r="AU11" s="183" t="s">
        <v>237</v>
      </c>
      <c r="AV11" s="160" t="s">
        <v>235</v>
      </c>
      <c r="AW11" s="142">
        <f>(AW6-AW7*AW8*SQRT(((AW5-1)*(1+1/AW5))/AW9))</f>
        <v>-0.10548436828584504</v>
      </c>
      <c r="AZ11" s="145">
        <v>1.5663170576810659E-2</v>
      </c>
      <c r="BC11">
        <f t="shared" si="21"/>
        <v>-8.2729674146516829E-2</v>
      </c>
      <c r="BD11" s="133">
        <v>6.3</v>
      </c>
      <c r="BG11" s="122">
        <f t="shared" si="22"/>
        <v>1.98650046330522E-2</v>
      </c>
      <c r="BH11" s="123">
        <v>45385</v>
      </c>
      <c r="BI11" s="126">
        <v>2284671</v>
      </c>
      <c r="BJ11" s="127">
        <v>710453</v>
      </c>
      <c r="BK11">
        <f t="shared" si="23"/>
        <v>0.31096512364362311</v>
      </c>
    </row>
    <row r="12" spans="1:63" thickBot="1">
      <c r="A12" s="115" t="s">
        <v>25</v>
      </c>
      <c r="B12" s="133">
        <v>11.8</v>
      </c>
      <c r="C12" s="118">
        <f t="shared" si="0"/>
        <v>0.28775978078029191</v>
      </c>
      <c r="D12" s="28"/>
      <c r="E12" s="2"/>
      <c r="F12" s="15">
        <f t="shared" si="1"/>
        <v>139.24</v>
      </c>
      <c r="G12" s="16">
        <f t="shared" si="2"/>
        <v>3.3955654132074446</v>
      </c>
      <c r="H12" s="2"/>
      <c r="L12" s="17">
        <f t="shared" si="3"/>
        <v>1.3520964630742438</v>
      </c>
      <c r="M12" s="2"/>
      <c r="N12" s="18">
        <f t="shared" si="4"/>
        <v>7.3259361886992788E-4</v>
      </c>
      <c r="O12" s="19">
        <f t="shared" si="5"/>
        <v>3.4223529411764702</v>
      </c>
      <c r="P12" s="19">
        <f t="shared" si="6"/>
        <v>11.712499653979236</v>
      </c>
      <c r="Q12" s="20">
        <f t="shared" si="7"/>
        <v>0.31482624746639498</v>
      </c>
      <c r="R12" s="144">
        <f t="shared" si="8"/>
        <v>-2.7066466686103074E-2</v>
      </c>
      <c r="S12" s="21">
        <f t="shared" si="9"/>
        <v>7.3259361886992755E-4</v>
      </c>
      <c r="T12" s="22">
        <f t="shared" si="10"/>
        <v>-3.8713838999352435E-3</v>
      </c>
      <c r="U12" s="23">
        <f t="shared" si="11"/>
        <v>1.4987613300677815E-5</v>
      </c>
      <c r="V12" s="24">
        <f t="shared" si="12"/>
        <v>1.9321255971988334E-3</v>
      </c>
      <c r="W12" s="25">
        <f t="shared" si="13"/>
        <v>4.3955950646059672E-2</v>
      </c>
      <c r="X12" s="25">
        <f t="shared" si="14"/>
        <v>-0.6157634242527612</v>
      </c>
      <c r="Y12" s="26">
        <f t="shared" si="16"/>
        <v>4.8148248609680896E-35</v>
      </c>
      <c r="Z12" s="15">
        <f t="shared" si="15"/>
        <v>11.712499653979236</v>
      </c>
      <c r="AA12" s="149">
        <f t="shared" si="17"/>
        <v>-0.63248988678164808</v>
      </c>
      <c r="AD12" s="2"/>
      <c r="AE12" s="182"/>
      <c r="AF12" s="2"/>
      <c r="AG12" s="2"/>
      <c r="AI12" s="122">
        <f t="shared" si="18"/>
        <v>2.8467361224157578E-2</v>
      </c>
      <c r="AJ12" s="123">
        <v>4197</v>
      </c>
      <c r="AK12" s="126">
        <v>147432</v>
      </c>
      <c r="AL12" s="125">
        <v>42425</v>
      </c>
      <c r="AM12">
        <f t="shared" si="19"/>
        <v>0.28775978078029191</v>
      </c>
      <c r="AQ12" s="163">
        <v>-2.7066466686103074E-2</v>
      </c>
      <c r="AR12" s="164">
        <f t="shared" si="20"/>
        <v>0</v>
      </c>
      <c r="AU12" s="183"/>
      <c r="AV12" s="160" t="s">
        <v>236</v>
      </c>
      <c r="AW12" s="142">
        <f>(AW6+AW7*AW8*SQRT(((AW5-1)*(1+1/AW5))/AW9))</f>
        <v>0.10759642652642151</v>
      </c>
      <c r="AZ12" s="145">
        <v>-2.7066466686103074E-2</v>
      </c>
      <c r="BC12">
        <f t="shared" si="21"/>
        <v>-0.18849932461428187</v>
      </c>
      <c r="BD12" s="133">
        <v>11.8</v>
      </c>
      <c r="BG12" s="122">
        <f t="shared" si="22"/>
        <v>2.8467361224157578E-2</v>
      </c>
      <c r="BH12" s="123">
        <v>4197</v>
      </c>
      <c r="BI12" s="126">
        <v>147432</v>
      </c>
      <c r="BJ12" s="125">
        <v>42425</v>
      </c>
      <c r="BK12">
        <f t="shared" si="23"/>
        <v>0.28775978078029191</v>
      </c>
    </row>
    <row r="13" spans="1:63" thickBot="1">
      <c r="A13" s="115" t="s">
        <v>67</v>
      </c>
      <c r="B13" s="133">
        <v>7.4</v>
      </c>
      <c r="C13" s="118">
        <f t="shared" si="0"/>
        <v>0.26826896136069067</v>
      </c>
      <c r="D13" s="28"/>
      <c r="E13" s="2"/>
      <c r="F13" s="15">
        <f t="shared" si="1"/>
        <v>54.760000000000005</v>
      </c>
      <c r="G13" s="16">
        <f t="shared" si="2"/>
        <v>1.9851903140691112</v>
      </c>
      <c r="H13" s="2"/>
      <c r="K13" s="2"/>
      <c r="L13" s="17">
        <f t="shared" si="3"/>
        <v>0.84792490057198344</v>
      </c>
      <c r="M13" s="2"/>
      <c r="N13" s="18">
        <f t="shared" si="4"/>
        <v>9.5715059888403062E-4</v>
      </c>
      <c r="O13" s="19">
        <f t="shared" si="5"/>
        <v>-0.9776470588235302</v>
      </c>
      <c r="P13" s="19">
        <f t="shared" si="6"/>
        <v>0.95579377162629908</v>
      </c>
      <c r="Q13" s="20">
        <f t="shared" si="7"/>
        <v>0.29920681194672899</v>
      </c>
      <c r="R13" s="144">
        <f t="shared" si="8"/>
        <v>-3.0937850586038318E-2</v>
      </c>
      <c r="S13" s="21">
        <f t="shared" si="9"/>
        <v>9.5715059888403149E-4</v>
      </c>
      <c r="T13" s="22">
        <f t="shared" si="10"/>
        <v>5.5966581218302114E-2</v>
      </c>
      <c r="U13" s="23">
        <f t="shared" si="11"/>
        <v>3.132258213264807E-3</v>
      </c>
      <c r="V13" s="24">
        <f t="shared" si="12"/>
        <v>1.9511553725722278E-3</v>
      </c>
      <c r="W13" s="25">
        <f t="shared" si="13"/>
        <v>4.4171884412737339E-2</v>
      </c>
      <c r="X13" s="25">
        <f t="shared" si="14"/>
        <v>-0.70039689266951732</v>
      </c>
      <c r="Y13" s="26">
        <f t="shared" si="16"/>
        <v>1.9259299443872359E-34</v>
      </c>
      <c r="Z13" s="15">
        <f t="shared" si="15"/>
        <v>0.95579377162629908</v>
      </c>
      <c r="AA13" s="149">
        <f t="shared" si="17"/>
        <v>-0.7195974042012282</v>
      </c>
      <c r="AD13" s="2"/>
      <c r="AE13" s="182"/>
      <c r="AF13" s="2"/>
      <c r="AG13" s="2"/>
      <c r="AI13" s="122">
        <f t="shared" si="18"/>
        <v>2.4371045412123742E-2</v>
      </c>
      <c r="AJ13" s="123">
        <v>24181</v>
      </c>
      <c r="AK13" s="124">
        <v>992202</v>
      </c>
      <c r="AL13" s="125">
        <v>266177</v>
      </c>
      <c r="AM13">
        <f t="shared" si="19"/>
        <v>0.26826896136069067</v>
      </c>
      <c r="AQ13" s="163">
        <v>-3.0937850586038318E-2</v>
      </c>
      <c r="AR13" s="164">
        <f t="shared" si="20"/>
        <v>0</v>
      </c>
      <c r="AV13" s="145"/>
      <c r="AZ13" s="145">
        <v>-3.0937850586038318E-2</v>
      </c>
      <c r="BC13">
        <f t="shared" si="21"/>
        <v>-0.10388360424006982</v>
      </c>
      <c r="BD13" s="133">
        <v>7.4</v>
      </c>
      <c r="BG13" s="122">
        <f t="shared" si="22"/>
        <v>2.4371045412123742E-2</v>
      </c>
      <c r="BH13" s="123">
        <v>24181</v>
      </c>
      <c r="BI13" s="124">
        <v>992202</v>
      </c>
      <c r="BJ13" s="125">
        <v>266177</v>
      </c>
      <c r="BK13">
        <f t="shared" si="23"/>
        <v>0.26826896136069067</v>
      </c>
    </row>
    <row r="14" spans="1:63" thickBot="1">
      <c r="A14" s="115" t="s">
        <v>21</v>
      </c>
      <c r="B14" s="133">
        <v>8.8000000000000007</v>
      </c>
      <c r="C14" s="118">
        <f t="shared" si="0"/>
        <v>0.32920536297161379</v>
      </c>
      <c r="D14" s="28"/>
      <c r="E14" s="2"/>
      <c r="F14" s="15">
        <f t="shared" si="1"/>
        <v>77.440000000000012</v>
      </c>
      <c r="G14" s="16">
        <f t="shared" si="2"/>
        <v>2.8970071941502016</v>
      </c>
      <c r="H14" s="2"/>
      <c r="K14" s="2"/>
      <c r="L14" s="17">
        <f t="shared" si="3"/>
        <v>1.0083431250045209</v>
      </c>
      <c r="M14" s="2"/>
      <c r="N14" s="18">
        <f t="shared" si="4"/>
        <v>6.2643735706242073E-4</v>
      </c>
      <c r="O14" s="19">
        <f t="shared" si="5"/>
        <v>0.42235294117647015</v>
      </c>
      <c r="P14" s="19">
        <f t="shared" si="6"/>
        <v>0.17838200692041487</v>
      </c>
      <c r="Q14" s="20">
        <f t="shared" si="7"/>
        <v>0.30417663233934999</v>
      </c>
      <c r="R14" s="144">
        <f t="shared" si="8"/>
        <v>2.5028730632263796E-2</v>
      </c>
      <c r="S14" s="21">
        <f t="shared" si="9"/>
        <v>6.2643735706242008E-4</v>
      </c>
      <c r="T14" s="22">
        <f t="shared" si="10"/>
        <v>-2.3272366552018253E-2</v>
      </c>
      <c r="U14" s="23">
        <f t="shared" si="11"/>
        <v>5.4160304493149796E-4</v>
      </c>
      <c r="V14" s="24">
        <f t="shared" si="12"/>
        <v>1.9525306980126356E-3</v>
      </c>
      <c r="W14" s="25">
        <f t="shared" si="13"/>
        <v>4.4187449553155199E-2</v>
      </c>
      <c r="X14" s="25">
        <f t="shared" si="14"/>
        <v>0.5664217076424729</v>
      </c>
      <c r="Y14" s="26">
        <f t="shared" si="16"/>
        <v>1.9259299443872359E-34</v>
      </c>
      <c r="Z14" s="15">
        <f t="shared" si="15"/>
        <v>0.17838200692041487</v>
      </c>
      <c r="AA14" s="149">
        <f t="shared" si="17"/>
        <v>0.53967061839636254</v>
      </c>
      <c r="AD14" s="2"/>
      <c r="AE14" s="182"/>
      <c r="AF14" s="2"/>
      <c r="AG14" s="2"/>
      <c r="AI14" s="122">
        <f t="shared" si="18"/>
        <v>2.2210120799175063E-2</v>
      </c>
      <c r="AJ14" s="123">
        <v>20311</v>
      </c>
      <c r="AK14" s="126">
        <v>914493</v>
      </c>
      <c r="AL14" s="125">
        <v>301056</v>
      </c>
      <c r="AM14">
        <f t="shared" si="19"/>
        <v>0.32920536297161379</v>
      </c>
      <c r="AQ14" s="163">
        <v>2.5028730632263796E-2</v>
      </c>
      <c r="AR14" s="164">
        <f t="shared" si="20"/>
        <v>0</v>
      </c>
      <c r="AV14" s="145"/>
      <c r="AZ14" s="145">
        <v>2.5028730632263796E-2</v>
      </c>
      <c r="BC14">
        <f t="shared" si="21"/>
        <v>-0.13080678799550094</v>
      </c>
      <c r="BD14" s="133">
        <v>8.8000000000000007</v>
      </c>
      <c r="BG14" s="122">
        <f t="shared" si="22"/>
        <v>2.2210120799175063E-2</v>
      </c>
      <c r="BH14" s="123">
        <v>20311</v>
      </c>
      <c r="BI14" s="126">
        <v>914493</v>
      </c>
      <c r="BJ14" s="125">
        <v>301056</v>
      </c>
      <c r="BK14">
        <f t="shared" si="23"/>
        <v>0.32920536297161379</v>
      </c>
    </row>
    <row r="15" spans="1:63" ht="18">
      <c r="A15" s="115" t="s">
        <v>18</v>
      </c>
      <c r="B15" s="133">
        <v>8.6999999999999993</v>
      </c>
      <c r="C15" s="118">
        <f t="shared" si="0"/>
        <v>0.30557800924869399</v>
      </c>
      <c r="D15" s="28"/>
      <c r="E15" s="2"/>
      <c r="F15" s="15">
        <f t="shared" si="1"/>
        <v>75.689999999999984</v>
      </c>
      <c r="G15" s="16">
        <f t="shared" si="2"/>
        <v>2.6585286804636374</v>
      </c>
      <c r="H15" s="2"/>
      <c r="K15" s="2"/>
      <c r="L15" s="17">
        <f t="shared" si="3"/>
        <v>0.99688468040219658</v>
      </c>
      <c r="M15" s="2"/>
      <c r="N15" s="18">
        <f t="shared" si="4"/>
        <v>3.0848147823766859E-6</v>
      </c>
      <c r="O15" s="19">
        <f t="shared" si="5"/>
        <v>0.32235294117646873</v>
      </c>
      <c r="P15" s="19">
        <f t="shared" si="6"/>
        <v>0.10391141868511991</v>
      </c>
      <c r="Q15" s="20">
        <f t="shared" si="7"/>
        <v>0.30382164516844845</v>
      </c>
      <c r="R15" s="144">
        <f t="shared" si="8"/>
        <v>1.7563640802455427E-3</v>
      </c>
      <c r="S15" s="21">
        <f t="shared" si="9"/>
        <v>3.084814782376771E-6</v>
      </c>
      <c r="T15" s="22">
        <f t="shared" si="10"/>
        <v>-6.2491022699787652E-2</v>
      </c>
      <c r="U15" s="23">
        <f t="shared" si="11"/>
        <v>3.9051279180653754E-3</v>
      </c>
      <c r="V15" s="24">
        <f t="shared" si="12"/>
        <v>1.952662444532578E-3</v>
      </c>
      <c r="W15" s="25">
        <f t="shared" si="13"/>
        <v>4.4188940296555859E-2</v>
      </c>
      <c r="X15" s="25">
        <f t="shared" si="14"/>
        <v>3.974668929506861E-2</v>
      </c>
      <c r="Y15" s="26">
        <f t="shared" si="16"/>
        <v>5.8981604546859098E-34</v>
      </c>
      <c r="Z15" s="15">
        <f t="shared" si="15"/>
        <v>0.10391141868511991</v>
      </c>
      <c r="AA15" s="149">
        <f t="shared" si="17"/>
        <v>1.6034077246647273E-2</v>
      </c>
      <c r="AD15" s="2"/>
      <c r="AF15" s="2"/>
      <c r="AG15" s="2"/>
      <c r="AI15" s="122">
        <f t="shared" si="18"/>
        <v>2.233558315783906E-2</v>
      </c>
      <c r="AJ15" s="123">
        <v>52362</v>
      </c>
      <c r="AK15" s="126">
        <v>2344331</v>
      </c>
      <c r="AL15" s="127">
        <v>716376</v>
      </c>
      <c r="AM15">
        <f t="shared" si="19"/>
        <v>0.30557800924869399</v>
      </c>
      <c r="AQ15" s="163">
        <v>1.7563640802455427E-3</v>
      </c>
      <c r="AR15" s="164">
        <f t="shared" si="20"/>
        <v>0</v>
      </c>
      <c r="AV15" s="145"/>
      <c r="AZ15" s="145">
        <v>1.7563640802455427E-3</v>
      </c>
      <c r="BC15">
        <f t="shared" si="21"/>
        <v>-0.12888370344154154</v>
      </c>
      <c r="BD15" s="133">
        <v>8.6999999999999993</v>
      </c>
      <c r="BG15" s="122">
        <f t="shared" si="22"/>
        <v>2.233558315783906E-2</v>
      </c>
      <c r="BH15" s="123">
        <v>52362</v>
      </c>
      <c r="BI15" s="126">
        <v>2344331</v>
      </c>
      <c r="BJ15" s="127">
        <v>716376</v>
      </c>
      <c r="BK15">
        <f t="shared" si="23"/>
        <v>0.30557800924869399</v>
      </c>
    </row>
    <row r="16" spans="1:63" thickBot="1">
      <c r="A16" s="115" t="s">
        <v>32</v>
      </c>
      <c r="B16" s="133">
        <v>1.2</v>
      </c>
      <c r="C16" s="118">
        <f t="shared" si="0"/>
        <v>0.21646294873129387</v>
      </c>
      <c r="D16" s="28"/>
      <c r="E16" s="2"/>
      <c r="F16" s="15">
        <f t="shared" si="1"/>
        <v>1.44</v>
      </c>
      <c r="G16" s="16">
        <f t="shared" si="2"/>
        <v>0.25975553847755262</v>
      </c>
      <c r="H16" s="2"/>
      <c r="K16" s="2"/>
      <c r="L16" s="17">
        <f t="shared" si="3"/>
        <v>0.13750133522788918</v>
      </c>
      <c r="M16" s="2"/>
      <c r="N16" s="18">
        <f t="shared" si="4"/>
        <v>3.6886987576323174E-3</v>
      </c>
      <c r="O16" s="19">
        <f t="shared" si="5"/>
        <v>-7.1776470588235304</v>
      </c>
      <c r="P16" s="19">
        <f t="shared" si="6"/>
        <v>51.518617301038077</v>
      </c>
      <c r="Q16" s="20">
        <f t="shared" si="7"/>
        <v>0.27719760735083598</v>
      </c>
      <c r="R16" s="144">
        <f t="shared" si="8"/>
        <v>-6.0734658619542109E-2</v>
      </c>
      <c r="S16" s="21">
        <f t="shared" si="9"/>
        <v>3.6886987576323204E-3</v>
      </c>
      <c r="T16" s="22">
        <f t="shared" si="10"/>
        <v>2.3104192317409206E-2</v>
      </c>
      <c r="U16" s="23">
        <f t="shared" si="11"/>
        <v>5.3380370263983055E-4</v>
      </c>
      <c r="V16" s="24">
        <f t="shared" si="12"/>
        <v>1.8617042725298035E-3</v>
      </c>
      <c r="W16" s="25">
        <f t="shared" si="13"/>
        <v>4.3147471218251056E-2</v>
      </c>
      <c r="X16" s="25">
        <f t="shared" si="14"/>
        <v>-1.4076064460957751</v>
      </c>
      <c r="Y16" s="26">
        <f t="shared" si="16"/>
        <v>6.3269807938658803E-34</v>
      </c>
      <c r="Z16" s="15">
        <f t="shared" si="15"/>
        <v>51.518617301038077</v>
      </c>
      <c r="AA16" s="149">
        <f t="shared" si="17"/>
        <v>-1.3900362038433238</v>
      </c>
      <c r="AD16" s="2"/>
      <c r="AF16" s="2"/>
      <c r="AG16" s="2"/>
      <c r="AI16" s="122">
        <f t="shared" si="18"/>
        <v>1.7625901670568277E-2</v>
      </c>
      <c r="AJ16" s="123">
        <v>15917</v>
      </c>
      <c r="AK16" s="126">
        <v>903046</v>
      </c>
      <c r="AL16" s="125">
        <v>195476</v>
      </c>
      <c r="AM16">
        <f t="shared" si="19"/>
        <v>0.21646294873129387</v>
      </c>
      <c r="AQ16" s="163">
        <v>-6.0734658619542109E-2</v>
      </c>
      <c r="AR16" s="164">
        <f t="shared" si="20"/>
        <v>0</v>
      </c>
      <c r="AV16" s="145"/>
      <c r="AZ16" s="145">
        <v>-6.0734658619542109E-2</v>
      </c>
      <c r="BC16">
        <f t="shared" si="21"/>
        <v>1.5347638105410764E-2</v>
      </c>
      <c r="BD16" s="133">
        <v>1.2</v>
      </c>
      <c r="BG16" s="122">
        <f t="shared" si="22"/>
        <v>1.7625901670568277E-2</v>
      </c>
      <c r="BH16" s="123">
        <v>15917</v>
      </c>
      <c r="BI16" s="126">
        <v>903046</v>
      </c>
      <c r="BJ16" s="125">
        <v>195476</v>
      </c>
      <c r="BK16">
        <f t="shared" si="23"/>
        <v>0.21646294873129387</v>
      </c>
    </row>
    <row r="17" spans="1:63" ht="18">
      <c r="A17" s="115" t="s">
        <v>78</v>
      </c>
      <c r="B17" s="133">
        <v>8.8000000000000007</v>
      </c>
      <c r="C17" s="118">
        <f t="shared" si="0"/>
        <v>0.26654616603721709</v>
      </c>
      <c r="D17" s="28"/>
      <c r="E17" s="2"/>
      <c r="F17" s="15">
        <f t="shared" si="1"/>
        <v>77.440000000000012</v>
      </c>
      <c r="G17" s="16">
        <f t="shared" si="2"/>
        <v>2.3456062611275108</v>
      </c>
      <c r="H17" s="2"/>
      <c r="K17" s="2"/>
      <c r="L17" s="17">
        <f t="shared" si="3"/>
        <v>1.0083431250045209</v>
      </c>
      <c r="M17" s="2"/>
      <c r="N17" s="18">
        <f t="shared" si="4"/>
        <v>1.416051994115959E-3</v>
      </c>
      <c r="O17" s="19">
        <f t="shared" si="5"/>
        <v>0.42235294117647015</v>
      </c>
      <c r="P17" s="19">
        <f t="shared" si="6"/>
        <v>0.17838200692041487</v>
      </c>
      <c r="Q17" s="20">
        <f t="shared" si="7"/>
        <v>0.30417663233934999</v>
      </c>
      <c r="R17" s="144">
        <f t="shared" si="8"/>
        <v>-3.7630466302132903E-2</v>
      </c>
      <c r="S17" s="21">
        <f t="shared" si="9"/>
        <v>1.4160519941159599E-3</v>
      </c>
      <c r="T17" s="22">
        <f t="shared" si="10"/>
        <v>1.3140883277075355E-2</v>
      </c>
      <c r="U17" s="23">
        <f t="shared" si="11"/>
        <v>1.7268281330171871E-4</v>
      </c>
      <c r="V17" s="24">
        <f t="shared" si="12"/>
        <v>1.9525306980126356E-3</v>
      </c>
      <c r="W17" s="25">
        <f t="shared" si="13"/>
        <v>4.4187449553155199E-2</v>
      </c>
      <c r="X17" s="25">
        <f t="shared" si="14"/>
        <v>-0.8516098277377474</v>
      </c>
      <c r="Y17" s="26">
        <f t="shared" si="16"/>
        <v>1.9259299443872359E-34</v>
      </c>
      <c r="Z17" s="15">
        <f t="shared" si="15"/>
        <v>0.17838200692041487</v>
      </c>
      <c r="AA17" s="149">
        <f t="shared" si="17"/>
        <v>-0.87018364290569172</v>
      </c>
      <c r="AD17" s="2"/>
      <c r="AF17" s="2"/>
      <c r="AG17" s="2"/>
      <c r="AI17" s="122">
        <f t="shared" si="18"/>
        <v>1.7754641484810433E-2</v>
      </c>
      <c r="AJ17" s="123">
        <v>18339</v>
      </c>
      <c r="AK17" s="126">
        <v>1032913</v>
      </c>
      <c r="AL17" s="127">
        <v>275319</v>
      </c>
      <c r="AM17">
        <f t="shared" si="19"/>
        <v>0.26654616603721709</v>
      </c>
      <c r="AQ17" s="163">
        <v>-3.7630466302132903E-2</v>
      </c>
      <c r="AR17" s="164">
        <f t="shared" si="20"/>
        <v>0</v>
      </c>
      <c r="AV17" s="145"/>
      <c r="AZ17" s="145">
        <v>-3.7630466302132903E-2</v>
      </c>
      <c r="BC17">
        <f t="shared" si="21"/>
        <v>-0.13080678799550094</v>
      </c>
      <c r="BD17" s="133">
        <v>8.8000000000000007</v>
      </c>
      <c r="BG17" s="122">
        <f t="shared" si="22"/>
        <v>1.7754641484810433E-2</v>
      </c>
      <c r="BH17" s="123">
        <v>18339</v>
      </c>
      <c r="BI17" s="126">
        <v>1032913</v>
      </c>
      <c r="BJ17" s="127">
        <v>275319</v>
      </c>
      <c r="BK17">
        <f t="shared" si="23"/>
        <v>0.26654616603721709</v>
      </c>
    </row>
    <row r="18" spans="1:63" ht="18">
      <c r="A18" s="115" t="s">
        <v>73</v>
      </c>
      <c r="B18" s="133">
        <v>10.199999999999999</v>
      </c>
      <c r="C18" s="118">
        <f t="shared" si="0"/>
        <v>0.28465686970691345</v>
      </c>
      <c r="D18" s="28"/>
      <c r="E18" s="2"/>
      <c r="F18" s="15">
        <f t="shared" si="1"/>
        <v>104.03999999999999</v>
      </c>
      <c r="G18" s="16">
        <f t="shared" si="2"/>
        <v>2.9035000710105172</v>
      </c>
      <c r="H18" s="2"/>
      <c r="K18" s="2"/>
      <c r="L18" s="17">
        <f t="shared" si="3"/>
        <v>1.1687613494370581</v>
      </c>
      <c r="M18" s="2"/>
      <c r="N18" s="18">
        <f t="shared" si="4"/>
        <v>5.9973967674118583E-4</v>
      </c>
      <c r="O18" s="19">
        <f t="shared" si="5"/>
        <v>1.8223529411764687</v>
      </c>
      <c r="P18" s="19">
        <f t="shared" si="6"/>
        <v>3.3209702422145262</v>
      </c>
      <c r="Q18" s="20">
        <f t="shared" si="7"/>
        <v>0.309146452731971</v>
      </c>
      <c r="R18" s="144">
        <f t="shared" si="8"/>
        <v>-2.4489583025057549E-2</v>
      </c>
      <c r="S18" s="21">
        <f t="shared" si="9"/>
        <v>5.9973967674118681E-4</v>
      </c>
      <c r="T18" s="22">
        <f t="shared" si="10"/>
        <v>4.3685867501310205E-3</v>
      </c>
      <c r="U18" s="23">
        <f t="shared" si="11"/>
        <v>1.9084550193420312E-5</v>
      </c>
      <c r="V18" s="24">
        <f t="shared" si="12"/>
        <v>1.9469711197492915E-3</v>
      </c>
      <c r="W18" s="25">
        <f t="shared" si="13"/>
        <v>4.4124495688328172E-2</v>
      </c>
      <c r="X18" s="25">
        <f t="shared" si="14"/>
        <v>-0.55501105775891146</v>
      </c>
      <c r="Y18" s="26">
        <f t="shared" si="16"/>
        <v>4.3333423748712807E-34</v>
      </c>
      <c r="Z18" s="15">
        <f t="shared" si="15"/>
        <v>3.3209702422145262</v>
      </c>
      <c r="AA18" s="149">
        <f t="shared" si="17"/>
        <v>-0.57450908606681594</v>
      </c>
      <c r="AD18" s="2"/>
      <c r="AF18" s="2"/>
      <c r="AG18" s="2"/>
      <c r="AI18" s="122">
        <f t="shared" si="18"/>
        <v>1.8243162434689011E-2</v>
      </c>
      <c r="AJ18" s="123">
        <v>19525</v>
      </c>
      <c r="AK18" s="126">
        <v>1070264</v>
      </c>
      <c r="AL18" s="127">
        <v>304658</v>
      </c>
      <c r="AM18">
        <f t="shared" si="19"/>
        <v>0.28465686970691345</v>
      </c>
      <c r="AQ18" s="163">
        <v>-2.4489583025057549E-2</v>
      </c>
      <c r="AR18" s="164">
        <f t="shared" si="20"/>
        <v>0</v>
      </c>
      <c r="AV18" s="145"/>
      <c r="AZ18" s="145">
        <v>-2.4489583025057549E-2</v>
      </c>
      <c r="BC18">
        <f t="shared" si="21"/>
        <v>-0.15772997175093201</v>
      </c>
      <c r="BD18" s="133">
        <v>10.199999999999999</v>
      </c>
      <c r="BG18" s="122">
        <f t="shared" si="22"/>
        <v>1.8243162434689011E-2</v>
      </c>
      <c r="BH18" s="123">
        <v>19525</v>
      </c>
      <c r="BI18" s="126">
        <v>1070264</v>
      </c>
      <c r="BJ18" s="127">
        <v>304658</v>
      </c>
      <c r="BK18">
        <f t="shared" si="23"/>
        <v>0.28465686970691345</v>
      </c>
    </row>
    <row r="19" spans="1:63" thickBot="1">
      <c r="A19" s="115" t="s">
        <v>80</v>
      </c>
      <c r="B19" s="133">
        <v>13.7</v>
      </c>
      <c r="C19" s="118">
        <f t="shared" si="0"/>
        <v>0.30145000743859696</v>
      </c>
      <c r="D19" s="28"/>
      <c r="E19" s="2"/>
      <c r="F19" s="15">
        <f t="shared" si="1"/>
        <v>187.68999999999997</v>
      </c>
      <c r="G19" s="16">
        <f t="shared" si="2"/>
        <v>4.129865101908778</v>
      </c>
      <c r="H19" s="2"/>
      <c r="K19" s="2"/>
      <c r="L19" s="17">
        <f t="shared" si="3"/>
        <v>1.5698069105184016</v>
      </c>
      <c r="M19" s="2"/>
      <c r="N19" s="18">
        <f t="shared" si="4"/>
        <v>4.048544910956075E-4</v>
      </c>
      <c r="O19" s="19">
        <f t="shared" si="5"/>
        <v>5.3223529411764687</v>
      </c>
      <c r="P19" s="19">
        <f t="shared" si="6"/>
        <v>28.327440830449806</v>
      </c>
      <c r="Q19" s="20">
        <f t="shared" si="7"/>
        <v>0.32157100371352348</v>
      </c>
      <c r="R19" s="144">
        <f t="shared" si="8"/>
        <v>-2.0120996274926528E-2</v>
      </c>
      <c r="S19" s="21">
        <f t="shared" si="9"/>
        <v>4.0485449109560722E-4</v>
      </c>
      <c r="T19" s="22">
        <f t="shared" si="10"/>
        <v>-2.8826446514124138E-4</v>
      </c>
      <c r="U19" s="23">
        <f t="shared" si="11"/>
        <v>8.3096401863165964E-8</v>
      </c>
      <c r="V19" s="24">
        <f t="shared" si="12"/>
        <v>1.9027319703870129E-3</v>
      </c>
      <c r="W19" s="25">
        <f t="shared" si="13"/>
        <v>4.3620316028050658E-2</v>
      </c>
      <c r="X19" s="25">
        <f t="shared" si="14"/>
        <v>-0.4612758023574941</v>
      </c>
      <c r="Y19" s="26">
        <f t="shared" si="16"/>
        <v>4.8148248609680896E-35</v>
      </c>
      <c r="Z19" s="15">
        <f t="shared" si="15"/>
        <v>28.327440830449806</v>
      </c>
      <c r="AA19" s="149">
        <f t="shared" si="17"/>
        <v>-0.47621432732631735</v>
      </c>
      <c r="AD19" s="2"/>
      <c r="AF19" s="2"/>
      <c r="AG19" s="2"/>
      <c r="AI19" s="122">
        <f t="shared" si="18"/>
        <v>2.7675040566302118E-2</v>
      </c>
      <c r="AJ19" s="123">
        <v>7999</v>
      </c>
      <c r="AK19" s="126">
        <v>289033</v>
      </c>
      <c r="AL19" s="125">
        <v>87129</v>
      </c>
      <c r="AM19">
        <f t="shared" si="19"/>
        <v>0.30145000743859696</v>
      </c>
      <c r="AQ19" s="163">
        <v>-2.0120996274926528E-2</v>
      </c>
      <c r="AR19" s="164">
        <f t="shared" si="20"/>
        <v>0</v>
      </c>
      <c r="AV19" s="145"/>
      <c r="AZ19" s="145">
        <v>-2.0120996274926528E-2</v>
      </c>
      <c r="BC19">
        <f t="shared" si="21"/>
        <v>-0.22503793113950979</v>
      </c>
      <c r="BD19" s="133">
        <v>13.7</v>
      </c>
      <c r="BG19" s="122">
        <f t="shared" si="22"/>
        <v>2.7675040566302118E-2</v>
      </c>
      <c r="BH19" s="123">
        <v>7999</v>
      </c>
      <c r="BI19" s="126">
        <v>289033</v>
      </c>
      <c r="BJ19" s="125">
        <v>87129</v>
      </c>
      <c r="BK19">
        <f t="shared" si="23"/>
        <v>0.30145000743859696</v>
      </c>
    </row>
    <row r="20" spans="1:63" thickBot="1">
      <c r="A20" s="115" t="s">
        <v>91</v>
      </c>
      <c r="B20" s="133">
        <v>1.9</v>
      </c>
      <c r="C20" s="118">
        <f t="shared" si="0"/>
        <v>0.25927325680707869</v>
      </c>
      <c r="D20" s="28"/>
      <c r="E20" s="2"/>
      <c r="F20" s="15">
        <f t="shared" si="1"/>
        <v>3.61</v>
      </c>
      <c r="G20" s="16">
        <f t="shared" si="2"/>
        <v>0.4926191879334495</v>
      </c>
      <c r="H20" s="2"/>
      <c r="K20" s="2"/>
      <c r="L20" s="17">
        <f t="shared" si="3"/>
        <v>0.21771044744415788</v>
      </c>
      <c r="M20" s="2"/>
      <c r="N20" s="18">
        <f t="shared" si="4"/>
        <v>4.1653792395607162E-4</v>
      </c>
      <c r="O20" s="19">
        <f t="shared" si="5"/>
        <v>-6.4776470588235302</v>
      </c>
      <c r="P20" s="19">
        <f t="shared" si="6"/>
        <v>41.959911418685131</v>
      </c>
      <c r="Q20" s="20">
        <f t="shared" si="7"/>
        <v>0.27968251754714646</v>
      </c>
      <c r="R20" s="144">
        <f t="shared" si="8"/>
        <v>-2.0409260740067769E-2</v>
      </c>
      <c r="S20" s="21">
        <f t="shared" si="9"/>
        <v>4.1653792395607162E-4</v>
      </c>
      <c r="T20" s="22">
        <f t="shared" si="10"/>
        <v>3.3933491159154117E-2</v>
      </c>
      <c r="U20" s="23">
        <f t="shared" si="11"/>
        <v>1.1514818222483907E-3</v>
      </c>
      <c r="V20" s="24">
        <f t="shared" si="12"/>
        <v>1.8786146564141429E-3</v>
      </c>
      <c r="W20" s="25">
        <f t="shared" si="13"/>
        <v>4.3342988549639062E-2</v>
      </c>
      <c r="X20" s="25">
        <f t="shared" si="14"/>
        <v>-0.47087802255937716</v>
      </c>
      <c r="Y20" s="26">
        <f t="shared" si="16"/>
        <v>3.009265538105056E-36</v>
      </c>
      <c r="Z20" s="15">
        <f t="shared" si="15"/>
        <v>41.959911418685131</v>
      </c>
      <c r="AA20" s="149">
        <f t="shared" si="17"/>
        <v>-0.48270038052273545</v>
      </c>
      <c r="AD20" s="2"/>
      <c r="AF20" s="2"/>
      <c r="AG20" s="2"/>
      <c r="AI20" s="122">
        <f t="shared" si="18"/>
        <v>1.9415547811827406E-2</v>
      </c>
      <c r="AJ20" s="123">
        <v>9093</v>
      </c>
      <c r="AK20" s="126">
        <v>468336</v>
      </c>
      <c r="AL20" s="125">
        <v>121427</v>
      </c>
      <c r="AM20">
        <f t="shared" si="19"/>
        <v>0.25927325680707869</v>
      </c>
      <c r="AQ20" s="163">
        <v>-2.0409260740067769E-2</v>
      </c>
      <c r="AR20" s="164">
        <f t="shared" si="20"/>
        <v>0</v>
      </c>
      <c r="AV20" s="145"/>
      <c r="AZ20" s="145">
        <v>-2.0409260740067769E-2</v>
      </c>
      <c r="BC20">
        <f t="shared" si="21"/>
        <v>1.8860462276952122E-3</v>
      </c>
      <c r="BD20" s="133">
        <v>1.9</v>
      </c>
      <c r="BG20" s="122">
        <f t="shared" si="22"/>
        <v>1.9415547811827406E-2</v>
      </c>
      <c r="BH20" s="123">
        <v>9093</v>
      </c>
      <c r="BI20" s="126">
        <v>468336</v>
      </c>
      <c r="BJ20" s="125">
        <v>121427</v>
      </c>
      <c r="BK20">
        <f t="shared" si="23"/>
        <v>0.25927325680707869</v>
      </c>
    </row>
    <row r="21" spans="1:63" ht="18" thickBot="1">
      <c r="A21" s="115" t="s">
        <v>46</v>
      </c>
      <c r="B21" s="133">
        <v>7.7</v>
      </c>
      <c r="C21" s="118">
        <f t="shared" si="0"/>
        <v>0.3137960038785198</v>
      </c>
      <c r="D21" s="29">
        <f>92-26</f>
        <v>66</v>
      </c>
      <c r="E21" s="2"/>
      <c r="F21" s="15">
        <f t="shared" si="1"/>
        <v>59.290000000000006</v>
      </c>
      <c r="G21" s="16">
        <f t="shared" si="2"/>
        <v>2.4162292298646024</v>
      </c>
      <c r="H21" s="2"/>
      <c r="K21" s="2"/>
      <c r="L21" s="17">
        <f t="shared" si="3"/>
        <v>0.88230023437895566</v>
      </c>
      <c r="M21" s="2"/>
      <c r="N21" s="18">
        <f t="shared" si="4"/>
        <v>1.8290480842853991E-4</v>
      </c>
      <c r="O21" s="19">
        <f t="shared" si="5"/>
        <v>-0.67764705882353038</v>
      </c>
      <c r="P21" s="19">
        <f t="shared" si="6"/>
        <v>0.45920553633218125</v>
      </c>
      <c r="Q21" s="20">
        <f t="shared" si="7"/>
        <v>0.30027177345943346</v>
      </c>
      <c r="R21" s="144">
        <f t="shared" si="8"/>
        <v>1.3524230419086347E-2</v>
      </c>
      <c r="S21" s="21">
        <f t="shared" si="9"/>
        <v>1.8290480842854048E-4</v>
      </c>
      <c r="T21" s="22">
        <f t="shared" si="10"/>
        <v>3.8131297527487396E-2</v>
      </c>
      <c r="U21" s="23">
        <f t="shared" si="11"/>
        <v>1.4539958511297663E-3</v>
      </c>
      <c r="V21" s="24">
        <f t="shared" si="12"/>
        <v>1.9520338908355392E-3</v>
      </c>
      <c r="W21" s="25">
        <f t="shared" si="13"/>
        <v>4.418182760859423E-2</v>
      </c>
      <c r="X21" s="25">
        <f t="shared" si="14"/>
        <v>0.30610391536758474</v>
      </c>
      <c r="Y21" s="26">
        <f t="shared" si="16"/>
        <v>4.3333423748712807E-34</v>
      </c>
      <c r="Z21" s="15">
        <f t="shared" si="15"/>
        <v>0.45920553633218125</v>
      </c>
      <c r="AA21" s="149">
        <f t="shared" si="17"/>
        <v>0.28081526366399368</v>
      </c>
      <c r="AD21" s="2"/>
      <c r="AF21" s="2"/>
      <c r="AG21" s="2"/>
      <c r="AI21" s="122">
        <f t="shared" si="18"/>
        <v>2.2660134969372935E-2</v>
      </c>
      <c r="AJ21" s="123">
        <v>58191</v>
      </c>
      <c r="AK21" s="126">
        <v>2567990</v>
      </c>
      <c r="AL21" s="125">
        <v>805825</v>
      </c>
      <c r="AM21">
        <f t="shared" si="19"/>
        <v>0.3137960038785198</v>
      </c>
      <c r="AQ21" s="163">
        <v>1.3524230419086347E-2</v>
      </c>
      <c r="AR21" s="164">
        <f t="shared" si="20"/>
        <v>0</v>
      </c>
      <c r="AV21" s="145"/>
      <c r="AZ21" s="145">
        <v>1.3524230419086347E-2</v>
      </c>
      <c r="BC21">
        <f t="shared" si="21"/>
        <v>-0.10965285790194793</v>
      </c>
      <c r="BD21" s="133">
        <v>7.7</v>
      </c>
      <c r="BG21" s="122">
        <f t="shared" si="22"/>
        <v>2.2660134969372935E-2</v>
      </c>
      <c r="BH21" s="123">
        <v>58191</v>
      </c>
      <c r="BI21" s="126">
        <v>2567990</v>
      </c>
      <c r="BJ21" s="125">
        <v>805825</v>
      </c>
      <c r="BK21">
        <f t="shared" si="23"/>
        <v>0.3137960038785198</v>
      </c>
    </row>
    <row r="22" spans="1:63" thickBot="1">
      <c r="A22" s="115" t="s">
        <v>72</v>
      </c>
      <c r="B22" s="133">
        <v>10.6</v>
      </c>
      <c r="C22" s="118">
        <f t="shared" si="0"/>
        <v>0.36222192936215075</v>
      </c>
      <c r="D22" s="30"/>
      <c r="E22" s="2"/>
      <c r="F22" s="15">
        <f t="shared" si="1"/>
        <v>112.36</v>
      </c>
      <c r="G22" s="16">
        <f t="shared" si="2"/>
        <v>3.8395524512387977</v>
      </c>
      <c r="H22" s="2"/>
      <c r="K22" s="2"/>
      <c r="L22" s="17">
        <f t="shared" si="3"/>
        <v>1.2145951278463545</v>
      </c>
      <c r="M22" s="2"/>
      <c r="N22" s="18">
        <f t="shared" si="4"/>
        <v>2.6682935674392639E-3</v>
      </c>
      <c r="O22" s="19">
        <f t="shared" si="5"/>
        <v>2.2223529411764691</v>
      </c>
      <c r="P22" s="19">
        <f t="shared" si="6"/>
        <v>4.9388525951557023</v>
      </c>
      <c r="Q22" s="20">
        <f t="shared" si="7"/>
        <v>0.31056640141557701</v>
      </c>
      <c r="R22" s="144">
        <f t="shared" si="8"/>
        <v>5.1655527946573743E-2</v>
      </c>
      <c r="S22" s="21">
        <f t="shared" si="9"/>
        <v>2.6682935674392609E-3</v>
      </c>
      <c r="T22" s="22">
        <f t="shared" si="10"/>
        <v>-1.5637153022243389E-2</v>
      </c>
      <c r="U22" s="23">
        <f t="shared" si="11"/>
        <v>2.4452055464105555E-4</v>
      </c>
      <c r="V22" s="24">
        <f t="shared" si="12"/>
        <v>1.9441089109937691E-3</v>
      </c>
      <c r="W22" s="25">
        <f t="shared" si="13"/>
        <v>4.4092050428549689E-2</v>
      </c>
      <c r="X22" s="25">
        <f t="shared" si="14"/>
        <v>1.1715383486254631</v>
      </c>
      <c r="Y22" s="26">
        <f t="shared" si="16"/>
        <v>7.7037197775489434E-34</v>
      </c>
      <c r="Z22" s="15">
        <f t="shared" si="15"/>
        <v>4.9388525951557023</v>
      </c>
      <c r="AA22" s="149">
        <f t="shared" si="17"/>
        <v>1.1387830471386227</v>
      </c>
      <c r="AD22" s="2"/>
      <c r="AF22" s="2"/>
      <c r="AG22" s="2"/>
      <c r="AI22" s="122">
        <f t="shared" si="18"/>
        <v>2.3528378140924268E-2</v>
      </c>
      <c r="AJ22" s="123">
        <v>26780</v>
      </c>
      <c r="AK22" s="126">
        <v>1138200</v>
      </c>
      <c r="AL22" s="125">
        <v>412281</v>
      </c>
      <c r="AM22">
        <f t="shared" si="19"/>
        <v>0.36222192936215075</v>
      </c>
      <c r="AQ22" s="163">
        <v>5.1655527946573743E-2</v>
      </c>
      <c r="AR22" s="164">
        <f t="shared" si="20"/>
        <v>0</v>
      </c>
      <c r="AV22" s="145"/>
      <c r="AZ22" s="145">
        <v>5.1655527946573743E-2</v>
      </c>
      <c r="BC22">
        <f t="shared" si="21"/>
        <v>-0.16542230996676949</v>
      </c>
      <c r="BD22" s="133">
        <v>10.6</v>
      </c>
      <c r="BG22" s="122">
        <f t="shared" si="22"/>
        <v>2.3528378140924268E-2</v>
      </c>
      <c r="BH22" s="123">
        <v>26780</v>
      </c>
      <c r="BI22" s="126">
        <v>1138200</v>
      </c>
      <c r="BJ22" s="125">
        <v>412281</v>
      </c>
      <c r="BK22">
        <f t="shared" si="23"/>
        <v>0.36222192936215075</v>
      </c>
    </row>
    <row r="23" spans="1:63" thickBot="1">
      <c r="A23" s="115" t="s">
        <v>44</v>
      </c>
      <c r="B23" s="133">
        <v>10.5</v>
      </c>
      <c r="C23" s="118">
        <f t="shared" si="0"/>
        <v>0.34622978916900582</v>
      </c>
      <c r="D23" s="30"/>
      <c r="E23" s="2"/>
      <c r="F23" s="15">
        <f t="shared" si="1"/>
        <v>110.25</v>
      </c>
      <c r="G23" s="16">
        <f t="shared" si="2"/>
        <v>3.6354127862745611</v>
      </c>
      <c r="H23" s="2"/>
      <c r="K23" s="2"/>
      <c r="L23" s="17">
        <f t="shared" si="3"/>
        <v>1.2031366832440304</v>
      </c>
      <c r="M23" s="2"/>
      <c r="N23" s="18">
        <f t="shared" si="4"/>
        <v>1.2973233321896286E-3</v>
      </c>
      <c r="O23" s="19">
        <f t="shared" si="5"/>
        <v>2.1223529411764694</v>
      </c>
      <c r="P23" s="19">
        <f t="shared" si="6"/>
        <v>4.5043820069204106</v>
      </c>
      <c r="Q23" s="20">
        <f t="shared" si="7"/>
        <v>0.31021141424467547</v>
      </c>
      <c r="R23" s="144">
        <f t="shared" si="8"/>
        <v>3.6018374924330354E-2</v>
      </c>
      <c r="S23" s="21">
        <f t="shared" si="9"/>
        <v>1.2973233321896297E-3</v>
      </c>
      <c r="T23" s="22">
        <f t="shared" si="10"/>
        <v>-5.2958527375449371E-2</v>
      </c>
      <c r="U23" s="23">
        <f t="shared" si="11"/>
        <v>2.8046056217762203E-3</v>
      </c>
      <c r="V23" s="24">
        <f t="shared" si="12"/>
        <v>1.9448775364252803E-3</v>
      </c>
      <c r="W23" s="25">
        <f t="shared" si="13"/>
        <v>4.4100765712459918E-2</v>
      </c>
      <c r="X23" s="25">
        <f t="shared" si="14"/>
        <v>0.81672901462012437</v>
      </c>
      <c r="Y23" s="26">
        <f t="shared" si="16"/>
        <v>1.9259299443872359E-34</v>
      </c>
      <c r="Z23" s="15">
        <f t="shared" si="15"/>
        <v>4.5043820069204106</v>
      </c>
      <c r="AA23" s="149">
        <f t="shared" si="17"/>
        <v>0.78694153142107992</v>
      </c>
      <c r="AD23" s="2"/>
      <c r="AF23" s="2"/>
      <c r="AG23" s="2"/>
      <c r="AI23" s="122">
        <f t="shared" si="18"/>
        <v>2.5100343660641674E-2</v>
      </c>
      <c r="AJ23" s="123">
        <v>14352</v>
      </c>
      <c r="AK23" s="126">
        <v>571785</v>
      </c>
      <c r="AL23" s="125">
        <v>197969</v>
      </c>
      <c r="AM23">
        <f t="shared" si="19"/>
        <v>0.34622978916900582</v>
      </c>
      <c r="AQ23" s="163">
        <v>3.6018374924330354E-2</v>
      </c>
      <c r="AR23" s="164">
        <f t="shared" si="20"/>
        <v>0</v>
      </c>
      <c r="AV23" s="145"/>
      <c r="AZ23" s="145">
        <v>3.6018374924330354E-2</v>
      </c>
      <c r="BC23">
        <f t="shared" si="21"/>
        <v>-0.16349922541281012</v>
      </c>
      <c r="BD23" s="133">
        <v>10.5</v>
      </c>
      <c r="BG23" s="122">
        <f t="shared" si="22"/>
        <v>2.5100343660641674E-2</v>
      </c>
      <c r="BH23" s="123">
        <v>14352</v>
      </c>
      <c r="BI23" s="126">
        <v>571785</v>
      </c>
      <c r="BJ23" s="125">
        <v>197969</v>
      </c>
      <c r="BK23">
        <f t="shared" si="23"/>
        <v>0.34622978916900582</v>
      </c>
    </row>
    <row r="24" spans="1:63" thickBot="1">
      <c r="A24" s="115" t="s">
        <v>1</v>
      </c>
      <c r="B24" s="133">
        <v>6.1</v>
      </c>
      <c r="C24" s="118">
        <f t="shared" si="0"/>
        <v>0.27765182627389046</v>
      </c>
      <c r="D24" s="30"/>
      <c r="E24" s="2"/>
      <c r="F24" s="15">
        <f t="shared" si="1"/>
        <v>37.209999999999994</v>
      </c>
      <c r="G24" s="16">
        <f t="shared" si="2"/>
        <v>1.6936761402707317</v>
      </c>
      <c r="H24" s="2"/>
      <c r="K24" s="2"/>
      <c r="L24" s="17">
        <f t="shared" si="3"/>
        <v>0.69896512074177009</v>
      </c>
      <c r="M24" s="2"/>
      <c r="N24" s="18">
        <f t="shared" si="4"/>
        <v>2.8696876506715353E-4</v>
      </c>
      <c r="O24" s="19">
        <f t="shared" si="5"/>
        <v>-2.2776470588235309</v>
      </c>
      <c r="P24" s="19">
        <f t="shared" si="6"/>
        <v>5.1876761245674805</v>
      </c>
      <c r="Q24" s="20">
        <f t="shared" si="7"/>
        <v>0.29459197872500947</v>
      </c>
      <c r="R24" s="144">
        <f t="shared" si="8"/>
        <v>-1.6940152451119017E-2</v>
      </c>
      <c r="S24" s="21">
        <f t="shared" si="9"/>
        <v>2.8696876506715364E-4</v>
      </c>
      <c r="T24" s="22">
        <f t="shared" si="10"/>
        <v>1.8377814986577645E-3</v>
      </c>
      <c r="U24" s="23">
        <f t="shared" si="11"/>
        <v>3.3774408368087788E-6</v>
      </c>
      <c r="V24" s="24">
        <f t="shared" si="12"/>
        <v>1.9436687152754786E-3</v>
      </c>
      <c r="W24" s="25">
        <f t="shared" si="13"/>
        <v>4.4087058364961011E-2</v>
      </c>
      <c r="X24" s="25">
        <f t="shared" si="14"/>
        <v>-0.38424320150564889</v>
      </c>
      <c r="Y24" s="26">
        <f t="shared" si="16"/>
        <v>1.2037062152420224E-35</v>
      </c>
      <c r="Z24" s="15">
        <f t="shared" si="15"/>
        <v>5.1876761245674805</v>
      </c>
      <c r="AA24" s="149">
        <f t="shared" si="17"/>
        <v>-0.40464420771200793</v>
      </c>
      <c r="AD24" s="2"/>
      <c r="AF24" s="2"/>
      <c r="AG24" s="2"/>
      <c r="AI24" s="122">
        <f t="shared" si="18"/>
        <v>1.776371658282026E-2</v>
      </c>
      <c r="AJ24" s="123">
        <v>103356</v>
      </c>
      <c r="AK24" s="126">
        <v>5818377</v>
      </c>
      <c r="AL24" s="125">
        <v>1615483</v>
      </c>
      <c r="AM24">
        <f t="shared" si="19"/>
        <v>0.27765182627389046</v>
      </c>
      <c r="AQ24" s="163">
        <v>-1.6940152451119017E-2</v>
      </c>
      <c r="AR24" s="164">
        <f t="shared" si="20"/>
        <v>0</v>
      </c>
      <c r="AV24" s="145"/>
      <c r="AZ24" s="145">
        <v>-1.6940152451119017E-2</v>
      </c>
      <c r="BC24">
        <f t="shared" si="21"/>
        <v>-7.888350503859809E-2</v>
      </c>
      <c r="BD24" s="133">
        <v>6.1</v>
      </c>
      <c r="BG24" s="122">
        <f t="shared" si="22"/>
        <v>1.776371658282026E-2</v>
      </c>
      <c r="BH24" s="123">
        <v>103356</v>
      </c>
      <c r="BI24" s="126">
        <v>5818377</v>
      </c>
      <c r="BJ24" s="125">
        <v>1615483</v>
      </c>
      <c r="BK24">
        <f t="shared" si="23"/>
        <v>0.27765182627389046</v>
      </c>
    </row>
    <row r="25" spans="1:63" thickBot="1">
      <c r="A25" s="115" t="s">
        <v>5</v>
      </c>
      <c r="B25" s="133">
        <v>8</v>
      </c>
      <c r="C25" s="118">
        <f t="shared" si="0"/>
        <v>0.28623436401967672</v>
      </c>
      <c r="D25" s="30"/>
      <c r="E25" s="2"/>
      <c r="F25" s="15">
        <f t="shared" si="1"/>
        <v>64</v>
      </c>
      <c r="G25" s="16">
        <f t="shared" si="2"/>
        <v>2.2898749121574138</v>
      </c>
      <c r="H25" s="2"/>
      <c r="K25" s="2"/>
      <c r="L25" s="17">
        <f t="shared" si="3"/>
        <v>0.91667556818592799</v>
      </c>
      <c r="M25" s="2"/>
      <c r="N25" s="18">
        <f t="shared" si="4"/>
        <v>2.2808160838574541E-4</v>
      </c>
      <c r="O25" s="19">
        <f t="shared" si="5"/>
        <v>-0.37764705882353056</v>
      </c>
      <c r="P25" s="19">
        <f t="shared" si="6"/>
        <v>0.14261730103806314</v>
      </c>
      <c r="Q25" s="20">
        <f t="shared" si="7"/>
        <v>0.30133673497213798</v>
      </c>
      <c r="R25" s="144">
        <f t="shared" si="8"/>
        <v>-1.5102370952461253E-2</v>
      </c>
      <c r="S25" s="21">
        <f t="shared" si="9"/>
        <v>2.2808160838574541E-4</v>
      </c>
      <c r="T25" s="22">
        <f t="shared" si="10"/>
        <v>8.3903222391624954E-2</v>
      </c>
      <c r="U25" s="23">
        <f t="shared" si="11"/>
        <v>7.0397507276984753E-3</v>
      </c>
      <c r="V25" s="24">
        <f t="shared" si="12"/>
        <v>1.9525939696430662E-3</v>
      </c>
      <c r="W25" s="25">
        <f t="shared" si="13"/>
        <v>4.4188165493071405E-2</v>
      </c>
      <c r="X25" s="25">
        <f t="shared" si="14"/>
        <v>-0.34177411041943495</v>
      </c>
      <c r="Y25" s="26">
        <f t="shared" si="16"/>
        <v>0</v>
      </c>
      <c r="Z25" s="15">
        <f t="shared" si="15"/>
        <v>0.14261730103806314</v>
      </c>
      <c r="AA25" s="149">
        <f t="shared" si="17"/>
        <v>-0.36329346904969362</v>
      </c>
      <c r="AD25" s="2"/>
      <c r="AF25" s="2"/>
      <c r="AG25" s="2"/>
      <c r="AI25" s="122">
        <f t="shared" si="18"/>
        <v>1.9869290231904427E-2</v>
      </c>
      <c r="AJ25" s="123">
        <v>56548</v>
      </c>
      <c r="AK25" s="124">
        <v>2846000</v>
      </c>
      <c r="AL25" s="125">
        <v>814623</v>
      </c>
      <c r="AM25">
        <f t="shared" si="19"/>
        <v>0.28623436401967672</v>
      </c>
      <c r="AQ25" s="163">
        <v>-1.5102370952461253E-2</v>
      </c>
      <c r="AR25" s="164">
        <f t="shared" si="20"/>
        <v>0</v>
      </c>
      <c r="AV25" s="145"/>
      <c r="AZ25" s="145">
        <v>-1.5102370952461253E-2</v>
      </c>
      <c r="BC25">
        <f t="shared" si="21"/>
        <v>-0.11542211156382601</v>
      </c>
      <c r="BD25" s="133">
        <v>8</v>
      </c>
      <c r="BG25" s="122">
        <f t="shared" si="22"/>
        <v>1.9869290231904427E-2</v>
      </c>
      <c r="BH25" s="123">
        <v>56548</v>
      </c>
      <c r="BI25" s="124">
        <v>2846000</v>
      </c>
      <c r="BJ25" s="125">
        <v>814623</v>
      </c>
      <c r="BK25">
        <f t="shared" si="23"/>
        <v>0.28623436401967672</v>
      </c>
    </row>
    <row r="26" spans="1:63" thickBot="1">
      <c r="A26" s="115" t="s">
        <v>49</v>
      </c>
      <c r="B26" s="133">
        <v>5.7</v>
      </c>
      <c r="C26" s="118">
        <f t="shared" si="0"/>
        <v>0.36197288148056717</v>
      </c>
      <c r="D26" s="30"/>
      <c r="E26" s="2"/>
      <c r="F26" s="15">
        <f t="shared" si="1"/>
        <v>32.49</v>
      </c>
      <c r="G26" s="16">
        <f t="shared" si="2"/>
        <v>2.0632454244392329</v>
      </c>
      <c r="H26" s="2"/>
      <c r="K26" s="2"/>
      <c r="L26" s="17">
        <f t="shared" si="3"/>
        <v>0.65313134233247372</v>
      </c>
      <c r="M26" s="2"/>
      <c r="N26" s="18">
        <f t="shared" si="4"/>
        <v>4.733557158753874E-3</v>
      </c>
      <c r="O26" s="19">
        <f t="shared" si="5"/>
        <v>-2.6776470588235304</v>
      </c>
      <c r="P26" s="19">
        <f t="shared" si="6"/>
        <v>7.1697937716263027</v>
      </c>
      <c r="Q26" s="20">
        <f t="shared" si="7"/>
        <v>0.29317203004140346</v>
      </c>
      <c r="R26" s="144">
        <f t="shared" si="8"/>
        <v>6.8800851439163702E-2</v>
      </c>
      <c r="S26" s="21">
        <f t="shared" si="9"/>
        <v>4.733557158753874E-3</v>
      </c>
      <c r="T26" s="22">
        <f t="shared" si="10"/>
        <v>-1.4540000956994092E-2</v>
      </c>
      <c r="U26" s="23">
        <f t="shared" si="11"/>
        <v>2.1141162782938912E-4</v>
      </c>
      <c r="V26" s="24">
        <f t="shared" si="12"/>
        <v>1.9401621349153099E-3</v>
      </c>
      <c r="W26" s="25">
        <f t="shared" si="13"/>
        <v>4.4047271594450772E-2</v>
      </c>
      <c r="X26" s="25">
        <f t="shared" si="14"/>
        <v>1.5619775969922158</v>
      </c>
      <c r="Y26" s="26">
        <f t="shared" si="16"/>
        <v>4.8148248609680896E-35</v>
      </c>
      <c r="Z26" s="15">
        <f t="shared" si="15"/>
        <v>7.1697937716263027</v>
      </c>
      <c r="AA26" s="149">
        <f t="shared" si="17"/>
        <v>1.5245589359157856</v>
      </c>
      <c r="AD26" s="2"/>
      <c r="AF26" s="2"/>
      <c r="AG26" s="2"/>
      <c r="AI26" s="122">
        <f t="shared" si="18"/>
        <v>2.2752401036838222E-2</v>
      </c>
      <c r="AJ26" s="123">
        <v>17327</v>
      </c>
      <c r="AK26" s="126">
        <v>761546</v>
      </c>
      <c r="AL26" s="125">
        <v>275659</v>
      </c>
      <c r="AM26">
        <f t="shared" si="19"/>
        <v>0.36197288148056717</v>
      </c>
      <c r="AQ26" s="163">
        <v>6.8800851439163702E-2</v>
      </c>
      <c r="AR26" s="164">
        <f t="shared" si="20"/>
        <v>0</v>
      </c>
      <c r="AV26" s="145"/>
      <c r="AZ26" s="145">
        <v>6.8800851439163702E-2</v>
      </c>
      <c r="BC26">
        <f t="shared" si="21"/>
        <v>-7.1191166822760638E-2</v>
      </c>
      <c r="BD26" s="133">
        <v>5.7</v>
      </c>
      <c r="BG26" s="122">
        <f t="shared" si="22"/>
        <v>2.2752401036838222E-2</v>
      </c>
      <c r="BH26" s="123">
        <v>17327</v>
      </c>
      <c r="BI26" s="126">
        <v>761546</v>
      </c>
      <c r="BJ26" s="125">
        <v>275659</v>
      </c>
      <c r="BK26">
        <f t="shared" si="23"/>
        <v>0.36197288148056717</v>
      </c>
    </row>
    <row r="27" spans="1:63" ht="18">
      <c r="A27" s="115" t="s">
        <v>58</v>
      </c>
      <c r="B27" s="133">
        <v>5.9</v>
      </c>
      <c r="C27" s="118">
        <f t="shared" si="0"/>
        <v>0.34814285486537611</v>
      </c>
      <c r="D27" s="30"/>
      <c r="E27" s="2"/>
      <c r="F27" s="15">
        <f t="shared" si="1"/>
        <v>34.81</v>
      </c>
      <c r="G27" s="16">
        <f t="shared" si="2"/>
        <v>2.054042843705719</v>
      </c>
      <c r="H27" s="2"/>
      <c r="K27" s="2"/>
      <c r="L27" s="17">
        <f t="shared" si="3"/>
        <v>0.6760482315371219</v>
      </c>
      <c r="M27" s="2"/>
      <c r="N27" s="18">
        <f t="shared" si="4"/>
        <v>2.9442398950483687E-3</v>
      </c>
      <c r="O27" s="19">
        <f t="shared" si="5"/>
        <v>-2.4776470588235302</v>
      </c>
      <c r="P27" s="19">
        <f t="shared" si="6"/>
        <v>6.1387349480968894</v>
      </c>
      <c r="Q27" s="20">
        <f t="shared" si="7"/>
        <v>0.2938820043832065</v>
      </c>
      <c r="R27" s="144">
        <f t="shared" si="8"/>
        <v>5.4260850482169609E-2</v>
      </c>
      <c r="S27" s="21">
        <f t="shared" si="9"/>
        <v>2.9442398950483661E-3</v>
      </c>
      <c r="T27" s="22">
        <f t="shared" si="10"/>
        <v>-0.13378986016831731</v>
      </c>
      <c r="U27" s="23">
        <f t="shared" si="11"/>
        <v>1.7899726683857899E-2</v>
      </c>
      <c r="V27" s="24">
        <f t="shared" si="12"/>
        <v>1.9419861894189019E-3</v>
      </c>
      <c r="W27" s="25">
        <f t="shared" si="13"/>
        <v>4.4067972376987147E-2</v>
      </c>
      <c r="X27" s="25">
        <f t="shared" si="14"/>
        <v>1.2312990036842564</v>
      </c>
      <c r="Y27" s="26">
        <f t="shared" si="16"/>
        <v>5.8981604546859098E-34</v>
      </c>
      <c r="Z27" s="15">
        <f t="shared" si="15"/>
        <v>6.1387349480968894</v>
      </c>
      <c r="AA27" s="149">
        <f t="shared" si="17"/>
        <v>1.1974037326657898</v>
      </c>
      <c r="AD27" s="2"/>
      <c r="AF27" s="2"/>
      <c r="AG27" s="2"/>
      <c r="AI27" s="122">
        <f t="shared" si="18"/>
        <v>2.0769153582203066E-2</v>
      </c>
      <c r="AJ27" s="123">
        <v>22147</v>
      </c>
      <c r="AK27" s="126">
        <v>1066341</v>
      </c>
      <c r="AL27" s="127">
        <v>371239</v>
      </c>
      <c r="AM27">
        <f t="shared" si="19"/>
        <v>0.34814285486537611</v>
      </c>
      <c r="AQ27" s="163">
        <v>5.4260850482169609E-2</v>
      </c>
      <c r="AR27" s="164">
        <f t="shared" si="20"/>
        <v>0</v>
      </c>
      <c r="AV27" s="145"/>
      <c r="AZ27" s="145">
        <v>5.4260850482169609E-2</v>
      </c>
      <c r="BC27">
        <f t="shared" si="21"/>
        <v>-7.5037335930679377E-2</v>
      </c>
      <c r="BD27" s="133">
        <v>5.9</v>
      </c>
      <c r="BG27" s="122">
        <f t="shared" si="22"/>
        <v>2.0769153582203066E-2</v>
      </c>
      <c r="BH27" s="123">
        <v>22147</v>
      </c>
      <c r="BI27" s="126">
        <v>1066341</v>
      </c>
      <c r="BJ27" s="127">
        <v>371239</v>
      </c>
      <c r="BK27">
        <f t="shared" si="23"/>
        <v>0.34814285486537611</v>
      </c>
    </row>
    <row r="28" spans="1:63" thickBot="1">
      <c r="A28" s="115" t="s">
        <v>42</v>
      </c>
      <c r="B28" s="133">
        <v>12.4</v>
      </c>
      <c r="C28" s="118">
        <f t="shared" si="0"/>
        <v>0.23742716080565626</v>
      </c>
      <c r="D28" s="30"/>
      <c r="E28" s="2"/>
      <c r="F28" s="15">
        <f t="shared" si="1"/>
        <v>153.76000000000002</v>
      </c>
      <c r="G28" s="16">
        <f t="shared" si="2"/>
        <v>2.9440967939901377</v>
      </c>
      <c r="H28" s="2"/>
      <c r="K28" s="2"/>
      <c r="L28" s="17">
        <f t="shared" si="3"/>
        <v>1.4208471306881885</v>
      </c>
      <c r="M28" s="2"/>
      <c r="N28" s="18">
        <f t="shared" si="4"/>
        <v>6.3248633816593803E-3</v>
      </c>
      <c r="O28" s="19">
        <f t="shared" si="5"/>
        <v>4.0223529411764698</v>
      </c>
      <c r="P28" s="19">
        <f t="shared" si="6"/>
        <v>16.179323183390999</v>
      </c>
      <c r="Q28" s="20">
        <f t="shared" si="7"/>
        <v>0.31695617049180397</v>
      </c>
      <c r="R28" s="144">
        <f t="shared" si="8"/>
        <v>-7.9529009686147706E-2</v>
      </c>
      <c r="S28" s="21">
        <f t="shared" si="9"/>
        <v>6.324863381659376E-3</v>
      </c>
      <c r="T28" s="22">
        <f t="shared" si="10"/>
        <v>0.10856592006415441</v>
      </c>
      <c r="U28" s="23">
        <f t="shared" si="11"/>
        <v>1.1786558999376365E-2</v>
      </c>
      <c r="V28" s="24">
        <f t="shared" si="12"/>
        <v>1.9242233035666582E-3</v>
      </c>
      <c r="W28" s="25">
        <f t="shared" si="13"/>
        <v>4.3865969766627273E-2</v>
      </c>
      <c r="X28" s="25">
        <f t="shared" si="14"/>
        <v>-1.8130001481616045</v>
      </c>
      <c r="Y28" s="26">
        <f t="shared" si="16"/>
        <v>4.3333423748712807E-34</v>
      </c>
      <c r="Z28" s="15">
        <f t="shared" si="15"/>
        <v>16.179323183390999</v>
      </c>
      <c r="AA28" s="149">
        <f t="shared" si="17"/>
        <v>-1.8129158007108517</v>
      </c>
      <c r="AD28" s="2"/>
      <c r="AF28" s="2"/>
      <c r="AG28" s="2"/>
      <c r="AI28" s="122">
        <f t="shared" si="18"/>
        <v>1.288017964863537E-2</v>
      </c>
      <c r="AJ28" s="123">
        <v>26109</v>
      </c>
      <c r="AK28" s="126">
        <v>2027068</v>
      </c>
      <c r="AL28" s="125">
        <v>481281</v>
      </c>
      <c r="AM28">
        <f t="shared" si="19"/>
        <v>0.23742716080565626</v>
      </c>
      <c r="AQ28" s="163">
        <v>-7.9529009686147706E-2</v>
      </c>
      <c r="AR28" s="164">
        <f t="shared" si="20"/>
        <v>0</v>
      </c>
      <c r="AV28" s="145"/>
      <c r="AZ28" s="145">
        <v>-7.9529009686147706E-2</v>
      </c>
      <c r="BC28">
        <f t="shared" si="21"/>
        <v>-0.20003783193803804</v>
      </c>
      <c r="BD28" s="133">
        <v>12.4</v>
      </c>
      <c r="BG28" s="122">
        <f t="shared" si="22"/>
        <v>1.288017964863537E-2</v>
      </c>
      <c r="BH28" s="123">
        <v>26109</v>
      </c>
      <c r="BI28" s="126">
        <v>2027068</v>
      </c>
      <c r="BJ28" s="125">
        <v>481281</v>
      </c>
      <c r="BK28">
        <f t="shared" si="23"/>
        <v>0.23742716080565626</v>
      </c>
    </row>
    <row r="29" spans="1:63" thickBot="1">
      <c r="A29" s="115" t="s">
        <v>47</v>
      </c>
      <c r="B29" s="133">
        <v>6.6</v>
      </c>
      <c r="C29" s="118">
        <f t="shared" si="0"/>
        <v>0.32540382495752368</v>
      </c>
      <c r="D29" s="30"/>
      <c r="E29" s="2"/>
      <c r="F29" s="15">
        <f t="shared" si="1"/>
        <v>43.559999999999995</v>
      </c>
      <c r="G29" s="16">
        <f t="shared" si="2"/>
        <v>2.147665244719656</v>
      </c>
      <c r="H29" s="2"/>
      <c r="K29" s="2"/>
      <c r="L29" s="17">
        <f t="shared" si="3"/>
        <v>0.7562573437533906</v>
      </c>
      <c r="M29" s="2"/>
      <c r="N29" s="18">
        <f t="shared" si="4"/>
        <v>8.4314216430039367E-4</v>
      </c>
      <c r="O29" s="19">
        <f t="shared" si="5"/>
        <v>-1.7776470588235309</v>
      </c>
      <c r="P29" s="19">
        <f t="shared" si="6"/>
        <v>3.16002906574395</v>
      </c>
      <c r="Q29" s="20">
        <f t="shared" si="7"/>
        <v>0.29636691457951697</v>
      </c>
      <c r="R29" s="144">
        <f t="shared" si="8"/>
        <v>2.9036910378006708E-2</v>
      </c>
      <c r="S29" s="21">
        <f t="shared" si="9"/>
        <v>8.4314216430039367E-4</v>
      </c>
      <c r="T29" s="22">
        <f t="shared" si="10"/>
        <v>1.0583540223087495E-3</v>
      </c>
      <c r="U29" s="23">
        <f t="shared" si="11"/>
        <v>1.1201132365371091E-6</v>
      </c>
      <c r="V29" s="24">
        <f t="shared" si="12"/>
        <v>1.9472558420862282E-3</v>
      </c>
      <c r="W29" s="25">
        <f t="shared" si="13"/>
        <v>4.412772192268969E-2</v>
      </c>
      <c r="X29" s="25">
        <f t="shared" si="14"/>
        <v>0.65801970083292349</v>
      </c>
      <c r="Y29" s="26">
        <f t="shared" si="16"/>
        <v>0</v>
      </c>
      <c r="Z29" s="15">
        <f t="shared" si="15"/>
        <v>3.16002906574395</v>
      </c>
      <c r="AA29" s="149">
        <f t="shared" si="17"/>
        <v>0.6298560910974681</v>
      </c>
      <c r="AD29" s="2"/>
      <c r="AF29" s="2"/>
      <c r="AG29" s="2"/>
      <c r="AI29" s="122">
        <f t="shared" si="18"/>
        <v>2.0262522859063825E-2</v>
      </c>
      <c r="AJ29" s="123">
        <v>22814</v>
      </c>
      <c r="AK29" s="126">
        <v>1125921</v>
      </c>
      <c r="AL29" s="125">
        <v>366379</v>
      </c>
      <c r="AM29">
        <f t="shared" si="19"/>
        <v>0.32540382495752368</v>
      </c>
      <c r="AQ29" s="163">
        <v>2.9036910378006708E-2</v>
      </c>
      <c r="AR29" s="164">
        <f t="shared" si="20"/>
        <v>0</v>
      </c>
      <c r="AV29" s="145"/>
      <c r="AZ29" s="145">
        <v>2.9036910378006708E-2</v>
      </c>
      <c r="BC29">
        <f t="shared" si="21"/>
        <v>-8.8498927808394912E-2</v>
      </c>
      <c r="BD29" s="133">
        <v>6.6</v>
      </c>
      <c r="BG29" s="122">
        <f t="shared" si="22"/>
        <v>2.0262522859063825E-2</v>
      </c>
      <c r="BH29" s="123">
        <v>22814</v>
      </c>
      <c r="BI29" s="126">
        <v>1125921</v>
      </c>
      <c r="BJ29" s="125">
        <v>366379</v>
      </c>
      <c r="BK29">
        <f t="shared" si="23"/>
        <v>0.32540382495752368</v>
      </c>
    </row>
    <row r="30" spans="1:63" thickBot="1">
      <c r="A30" s="115" t="s">
        <v>71</v>
      </c>
      <c r="B30" s="133">
        <v>16.899999999999999</v>
      </c>
      <c r="C30" s="118">
        <f t="shared" si="0"/>
        <v>0.30334849295523453</v>
      </c>
      <c r="D30" s="30"/>
      <c r="E30" s="2"/>
      <c r="F30" s="15">
        <f t="shared" si="1"/>
        <v>285.60999999999996</v>
      </c>
      <c r="G30" s="16">
        <f t="shared" si="2"/>
        <v>5.1265895309434635</v>
      </c>
      <c r="H30" s="2"/>
      <c r="K30" s="2"/>
      <c r="L30" s="17">
        <f t="shared" si="3"/>
        <v>1.9364771377927728</v>
      </c>
      <c r="M30" s="2"/>
      <c r="N30" s="18">
        <f t="shared" si="4"/>
        <v>8.751006538483771E-4</v>
      </c>
      <c r="O30" s="19">
        <f t="shared" si="5"/>
        <v>8.522352941176468</v>
      </c>
      <c r="P30" s="19">
        <f t="shared" si="6"/>
        <v>72.6304996539792</v>
      </c>
      <c r="Q30" s="20">
        <f t="shared" si="7"/>
        <v>0.3329305931823715</v>
      </c>
      <c r="R30" s="144">
        <f>C2-Q30</f>
        <v>3.0095264400315458E-2</v>
      </c>
      <c r="S30" s="21">
        <f t="shared" si="9"/>
        <v>9.0572493932489489E-4</v>
      </c>
      <c r="T30" s="22">
        <f t="shared" si="10"/>
        <v>-9.4719517882612708E-2</v>
      </c>
      <c r="U30" s="23">
        <f t="shared" si="11"/>
        <v>8.971787067914589E-3</v>
      </c>
      <c r="V30" s="24">
        <f t="shared" si="12"/>
        <v>1.8243550707128138E-3</v>
      </c>
      <c r="W30" s="25">
        <f t="shared" si="13"/>
        <v>4.2712469733238487E-2</v>
      </c>
      <c r="X30" s="25">
        <f t="shared" si="14"/>
        <v>0.70460136321491085</v>
      </c>
      <c r="Y30" s="26">
        <f t="shared" si="16"/>
        <v>4.8148248609680896E-35</v>
      </c>
      <c r="Z30" s="15">
        <f t="shared" si="15"/>
        <v>72.6304996539792</v>
      </c>
      <c r="AA30" s="149">
        <f t="shared" si="17"/>
        <v>0.65366943377213393</v>
      </c>
      <c r="AD30" s="2"/>
      <c r="AF30" s="2"/>
      <c r="AG30" s="2"/>
      <c r="AI30" s="122">
        <f t="shared" si="18"/>
        <v>2.736906248142203E-2</v>
      </c>
      <c r="AJ30" s="123">
        <v>3683</v>
      </c>
      <c r="AK30" s="124">
        <v>134568</v>
      </c>
      <c r="AL30" s="128">
        <v>40821</v>
      </c>
      <c r="AM30">
        <f t="shared" si="19"/>
        <v>0.30334849295523453</v>
      </c>
      <c r="AQ30" s="163">
        <v>3.0095264400315458E-2</v>
      </c>
      <c r="AR30" s="164">
        <f t="shared" si="20"/>
        <v>0</v>
      </c>
      <c r="AV30" s="145"/>
      <c r="AZ30" s="145">
        <v>3.0095264400315458E-2</v>
      </c>
      <c r="BC30">
        <f t="shared" si="21"/>
        <v>-0.28657663686620943</v>
      </c>
      <c r="BD30" s="133">
        <v>16.899999999999999</v>
      </c>
      <c r="BG30" s="122">
        <f t="shared" si="22"/>
        <v>2.736906248142203E-2</v>
      </c>
      <c r="BH30" s="123">
        <v>3683</v>
      </c>
      <c r="BI30" s="124">
        <v>134568</v>
      </c>
      <c r="BJ30" s="128">
        <v>40821</v>
      </c>
      <c r="BK30">
        <f t="shared" si="23"/>
        <v>0.30334849295523453</v>
      </c>
    </row>
    <row r="31" spans="1:63" thickBot="1">
      <c r="A31" s="116" t="s">
        <v>51</v>
      </c>
      <c r="B31" s="134">
        <v>6.7</v>
      </c>
      <c r="C31" s="118">
        <f t="shared" si="0"/>
        <v>0.23209764826812121</v>
      </c>
      <c r="D31" s="30"/>
      <c r="E31" s="2"/>
      <c r="F31" s="15">
        <f t="shared" si="1"/>
        <v>44.89</v>
      </c>
      <c r="G31" s="16">
        <f t="shared" si="2"/>
        <v>1.5550542433964121</v>
      </c>
      <c r="H31" s="2"/>
      <c r="K31" s="2"/>
      <c r="L31" s="17">
        <f t="shared" si="3"/>
        <v>0.76771578835571475</v>
      </c>
      <c r="M31" s="2"/>
      <c r="N31" s="18">
        <f t="shared" si="4"/>
        <v>4.1762941381442101E-3</v>
      </c>
      <c r="O31" s="19">
        <f t="shared" si="5"/>
        <v>-1.6776470588235304</v>
      </c>
      <c r="P31" s="19">
        <f t="shared" si="6"/>
        <v>2.814499653979242</v>
      </c>
      <c r="Q31" s="20">
        <f t="shared" si="7"/>
        <v>0.29672190175041846</v>
      </c>
      <c r="R31" s="144">
        <f t="shared" ref="R31:R43" si="24">C31-Q31</f>
        <v>-6.462425348229725E-2</v>
      </c>
      <c r="S31" s="21">
        <f t="shared" si="9"/>
        <v>4.1762941381442084E-3</v>
      </c>
      <c r="T31" s="22">
        <f t="shared" si="10"/>
        <v>-2.4821074024649142E-2</v>
      </c>
      <c r="U31" s="23">
        <f t="shared" si="11"/>
        <v>6.1608571573711242E-4</v>
      </c>
      <c r="V31" s="24">
        <f t="shared" si="12"/>
        <v>1.9478671209631165E-3</v>
      </c>
      <c r="W31" s="25">
        <f t="shared" si="13"/>
        <v>4.4134647624775668E-2</v>
      </c>
      <c r="X31" s="25">
        <f t="shared" si="14"/>
        <v>-1.4642521683127572</v>
      </c>
      <c r="Y31" s="26">
        <f t="shared" si="16"/>
        <v>1.9259299443872359E-34</v>
      </c>
      <c r="Z31" s="15">
        <f t="shared" si="15"/>
        <v>2.814499653979242</v>
      </c>
      <c r="AA31" s="149">
        <f t="shared" si="17"/>
        <v>-1.4775534744163148</v>
      </c>
      <c r="AD31" s="2"/>
      <c r="AF31" s="2"/>
      <c r="AG31" s="2"/>
      <c r="AI31" s="122">
        <f t="shared" si="18"/>
        <v>1.6100505598799896E-2</v>
      </c>
      <c r="AJ31" s="129">
        <v>210877</v>
      </c>
      <c r="AK31" s="126">
        <v>13097539</v>
      </c>
      <c r="AL31" s="125">
        <v>3039908</v>
      </c>
      <c r="AM31">
        <f t="shared" si="19"/>
        <v>0.23209764826812121</v>
      </c>
      <c r="AQ31" s="163">
        <v>-6.462425348229725E-2</v>
      </c>
      <c r="AR31" s="164">
        <f t="shared" si="20"/>
        <v>0</v>
      </c>
      <c r="AV31" s="145"/>
      <c r="AZ31" s="145">
        <v>-6.462425348229725E-2</v>
      </c>
      <c r="BC31">
        <f t="shared" si="21"/>
        <v>-9.0422012362354282E-2</v>
      </c>
      <c r="BD31" s="134">
        <v>6.7</v>
      </c>
      <c r="BG31" s="122">
        <f t="shared" si="22"/>
        <v>1.6100505598799896E-2</v>
      </c>
      <c r="BH31" s="129">
        <v>210877</v>
      </c>
      <c r="BI31" s="126">
        <v>13097539</v>
      </c>
      <c r="BJ31" s="125">
        <v>3039908</v>
      </c>
      <c r="BK31">
        <f t="shared" si="23"/>
        <v>0.23209764826812121</v>
      </c>
    </row>
    <row r="32" spans="1:63" ht="18">
      <c r="A32" s="115" t="s">
        <v>29</v>
      </c>
      <c r="B32" s="133">
        <v>13</v>
      </c>
      <c r="C32" s="118">
        <f t="shared" si="0"/>
        <v>0.22964076601026662</v>
      </c>
      <c r="D32" s="30"/>
      <c r="E32" s="2"/>
      <c r="F32" s="15">
        <f t="shared" si="1"/>
        <v>169</v>
      </c>
      <c r="G32" s="16">
        <f t="shared" si="2"/>
        <v>2.985329958133466</v>
      </c>
      <c r="H32" s="2"/>
      <c r="K32" s="2"/>
      <c r="L32" s="17">
        <f t="shared" si="3"/>
        <v>1.4895977983021329</v>
      </c>
      <c r="M32" s="2"/>
      <c r="N32" s="18">
        <f t="shared" si="4"/>
        <v>8.0004666128248962E-3</v>
      </c>
      <c r="O32" s="19">
        <f t="shared" si="5"/>
        <v>4.6223529411764694</v>
      </c>
      <c r="P32" s="19">
        <f t="shared" si="6"/>
        <v>21.366146712802756</v>
      </c>
      <c r="Q32" s="20">
        <f t="shared" si="7"/>
        <v>0.31908609351721301</v>
      </c>
      <c r="R32" s="144">
        <f t="shared" si="24"/>
        <v>-8.9445327506946393E-2</v>
      </c>
      <c r="S32" s="21">
        <f t="shared" si="9"/>
        <v>8.0004666128249014E-3</v>
      </c>
      <c r="T32" s="22">
        <f t="shared" si="10"/>
        <v>0.12151006828912381</v>
      </c>
      <c r="U32" s="23">
        <f t="shared" si="11"/>
        <v>1.476469669562753E-2</v>
      </c>
      <c r="V32" s="24">
        <f t="shared" si="12"/>
        <v>1.9150472521113448E-3</v>
      </c>
      <c r="W32" s="25">
        <f t="shared" si="13"/>
        <v>4.3761252862679158E-2</v>
      </c>
      <c r="X32" s="25">
        <f t="shared" si="14"/>
        <v>-2.043938910698508</v>
      </c>
      <c r="Y32" s="26">
        <f t="shared" si="16"/>
        <v>4.3333423748712807E-34</v>
      </c>
      <c r="Z32" s="15">
        <f t="shared" si="15"/>
        <v>21.366146712802756</v>
      </c>
      <c r="AA32" s="149">
        <f t="shared" si="17"/>
        <v>-2.0360364856234909</v>
      </c>
      <c r="AD32" s="2"/>
      <c r="AF32" s="2"/>
      <c r="AG32" s="2"/>
      <c r="AI32" s="122">
        <f t="shared" si="18"/>
        <v>1.7346302627252411E-2</v>
      </c>
      <c r="AJ32" s="123">
        <v>149082</v>
      </c>
      <c r="AK32" s="126">
        <v>8594454</v>
      </c>
      <c r="AL32" s="127">
        <v>1973637</v>
      </c>
      <c r="AM32">
        <f t="shared" si="19"/>
        <v>0.22964076601026662</v>
      </c>
      <c r="AQ32" s="163">
        <v>-8.9445327506946393E-2</v>
      </c>
      <c r="AR32" s="164">
        <f t="shared" si="20"/>
        <v>0</v>
      </c>
      <c r="AV32" s="145"/>
      <c r="AZ32" s="145">
        <v>-8.9445327506946393E-2</v>
      </c>
      <c r="BC32">
        <f t="shared" si="21"/>
        <v>-0.21157633926179423</v>
      </c>
      <c r="BD32" s="133">
        <v>13</v>
      </c>
      <c r="BG32" s="122">
        <f t="shared" si="22"/>
        <v>1.7346302627252411E-2</v>
      </c>
      <c r="BH32" s="123">
        <v>149082</v>
      </c>
      <c r="BI32" s="126">
        <v>8594454</v>
      </c>
      <c r="BJ32" s="127">
        <v>1973637</v>
      </c>
      <c r="BK32">
        <f t="shared" si="23"/>
        <v>0.22964076601026662</v>
      </c>
    </row>
    <row r="33" spans="1:63" thickBot="1">
      <c r="A33" s="115" t="s">
        <v>33</v>
      </c>
      <c r="B33" s="133">
        <v>12.7</v>
      </c>
      <c r="C33" s="118">
        <f t="shared" si="0"/>
        <v>0.3500858727866859</v>
      </c>
      <c r="D33" s="30"/>
      <c r="E33" s="2"/>
      <c r="F33" s="15">
        <f t="shared" si="1"/>
        <v>161.29</v>
      </c>
      <c r="G33" s="16">
        <f t="shared" si="2"/>
        <v>4.4460905843909106</v>
      </c>
      <c r="H33" s="2"/>
      <c r="K33" s="2"/>
      <c r="L33" s="17">
        <f t="shared" si="3"/>
        <v>1.4552224644951606</v>
      </c>
      <c r="M33" s="2"/>
      <c r="N33" s="18">
        <f t="shared" si="4"/>
        <v>1.0281476014282315E-3</v>
      </c>
      <c r="O33" s="19">
        <f t="shared" si="5"/>
        <v>4.3223529411764687</v>
      </c>
      <c r="P33" s="19">
        <f t="shared" si="6"/>
        <v>18.682734948096869</v>
      </c>
      <c r="Q33" s="20">
        <f t="shared" si="7"/>
        <v>0.31802113200450849</v>
      </c>
      <c r="R33" s="144">
        <f t="shared" si="24"/>
        <v>3.2064740782177414E-2</v>
      </c>
      <c r="S33" s="21">
        <f t="shared" si="9"/>
        <v>1.0281476014282315E-3</v>
      </c>
      <c r="T33" s="22">
        <f t="shared" si="10"/>
        <v>-1.4133294243897421E-2</v>
      </c>
      <c r="U33" s="23">
        <f t="shared" si="11"/>
        <v>1.9975000618458396E-4</v>
      </c>
      <c r="V33" s="24">
        <f t="shared" si="12"/>
        <v>1.9197944975668938E-3</v>
      </c>
      <c r="W33" s="25">
        <f t="shared" si="13"/>
        <v>4.381545957269984E-2</v>
      </c>
      <c r="X33" s="25">
        <f t="shared" si="14"/>
        <v>0.73181340775336834</v>
      </c>
      <c r="Y33" s="26">
        <f t="shared" si="16"/>
        <v>0</v>
      </c>
      <c r="Z33" s="15">
        <f t="shared" si="15"/>
        <v>18.682734948096869</v>
      </c>
      <c r="AA33" s="149">
        <f t="shared" si="17"/>
        <v>0.69798335423953106</v>
      </c>
      <c r="AD33" s="2"/>
      <c r="AF33" s="2"/>
      <c r="AG33" s="2"/>
      <c r="AI33" s="122">
        <f t="shared" si="18"/>
        <v>2.607644957823543E-2</v>
      </c>
      <c r="AJ33" s="123">
        <v>17157</v>
      </c>
      <c r="AK33" s="126">
        <v>657950</v>
      </c>
      <c r="AL33" s="125">
        <v>230339</v>
      </c>
      <c r="AM33">
        <f t="shared" si="19"/>
        <v>0.3500858727866859</v>
      </c>
      <c r="AQ33" s="163">
        <v>3.2064740782177414E-2</v>
      </c>
      <c r="AR33" s="164">
        <f t="shared" si="20"/>
        <v>0</v>
      </c>
      <c r="AV33" s="145"/>
      <c r="AZ33" s="145">
        <v>3.2064740782177414E-2</v>
      </c>
      <c r="BC33">
        <f t="shared" si="21"/>
        <v>-0.20580708559991612</v>
      </c>
      <c r="BD33" s="133">
        <v>12.7</v>
      </c>
      <c r="BG33" s="122">
        <f t="shared" si="22"/>
        <v>2.607644957823543E-2</v>
      </c>
      <c r="BH33" s="123">
        <v>17157</v>
      </c>
      <c r="BI33" s="126">
        <v>657950</v>
      </c>
      <c r="BJ33" s="125">
        <v>230339</v>
      </c>
      <c r="BK33">
        <f t="shared" si="23"/>
        <v>0.3500858727866859</v>
      </c>
    </row>
    <row r="34" spans="1:63" thickBot="1">
      <c r="A34" s="115" t="s">
        <v>92</v>
      </c>
      <c r="B34" s="133">
        <v>12.2</v>
      </c>
      <c r="C34" s="118">
        <f t="shared" ref="C34:C65" si="25">(BJ34/BI34)</f>
        <v>0.33417764268828098</v>
      </c>
      <c r="D34" s="30"/>
      <c r="E34" s="2"/>
      <c r="F34" s="15">
        <f t="shared" si="1"/>
        <v>148.83999999999997</v>
      </c>
      <c r="G34" s="16">
        <f t="shared" si="2"/>
        <v>4.0769672407970274</v>
      </c>
      <c r="H34" s="2"/>
      <c r="K34" s="2"/>
      <c r="L34" s="17">
        <f t="shared" si="3"/>
        <v>1.3979302414835402</v>
      </c>
      <c r="M34" s="2"/>
      <c r="N34" s="18">
        <f t="shared" si="4"/>
        <v>3.215367749551938E-4</v>
      </c>
      <c r="O34" s="19">
        <f t="shared" si="5"/>
        <v>3.8223529411764687</v>
      </c>
      <c r="P34" s="19">
        <f t="shared" si="6"/>
        <v>14.610382006920402</v>
      </c>
      <c r="Q34" s="20">
        <f t="shared" si="7"/>
        <v>0.31624619615000099</v>
      </c>
      <c r="R34" s="144">
        <f t="shared" si="24"/>
        <v>1.7931446538279994E-2</v>
      </c>
      <c r="S34" s="21">
        <f t="shared" si="9"/>
        <v>3.2153677495519358E-4</v>
      </c>
      <c r="T34" s="22">
        <f t="shared" si="10"/>
        <v>-1.1538021967205658E-4</v>
      </c>
      <c r="U34" s="23">
        <f t="shared" si="11"/>
        <v>1.3312595091572034E-8</v>
      </c>
      <c r="V34" s="24">
        <f t="shared" si="12"/>
        <v>1.9269989300910652E-3</v>
      </c>
      <c r="W34" s="25">
        <f t="shared" si="13"/>
        <v>4.3897595948879313E-2</v>
      </c>
      <c r="X34" s="25">
        <f t="shared" si="14"/>
        <v>0.40848356614248205</v>
      </c>
      <c r="Y34" s="26">
        <f t="shared" si="16"/>
        <v>4.8148248609680896E-35</v>
      </c>
      <c r="Z34" s="15">
        <f t="shared" si="15"/>
        <v>14.610382006920402</v>
      </c>
      <c r="AA34" s="149">
        <f t="shared" si="17"/>
        <v>0.37997919697500859</v>
      </c>
      <c r="AD34" s="2"/>
      <c r="AF34" s="2"/>
      <c r="AG34" s="2"/>
      <c r="AI34" s="122">
        <f t="shared" si="18"/>
        <v>1.9057268297389879E-2</v>
      </c>
      <c r="AJ34" s="123">
        <v>790</v>
      </c>
      <c r="AK34" s="126">
        <v>41454</v>
      </c>
      <c r="AL34" s="125">
        <v>13853</v>
      </c>
      <c r="AM34">
        <f t="shared" si="19"/>
        <v>0.33417764268828098</v>
      </c>
      <c r="AQ34" s="163">
        <v>1.7931446538279994E-2</v>
      </c>
      <c r="AR34" s="164">
        <f t="shared" si="20"/>
        <v>0</v>
      </c>
      <c r="AV34" s="145"/>
      <c r="AZ34" s="145">
        <v>1.7931446538279994E-2</v>
      </c>
      <c r="BC34">
        <f t="shared" si="21"/>
        <v>-0.1961916628301193</v>
      </c>
      <c r="BD34" s="133">
        <v>12.2</v>
      </c>
      <c r="BG34" s="122">
        <f t="shared" si="22"/>
        <v>1.9057268297389879E-2</v>
      </c>
      <c r="BH34" s="123">
        <v>790</v>
      </c>
      <c r="BI34" s="126">
        <v>41454</v>
      </c>
      <c r="BJ34" s="125">
        <v>13853</v>
      </c>
      <c r="BK34">
        <f t="shared" si="23"/>
        <v>0.33417764268828098</v>
      </c>
    </row>
    <row r="35" spans="1:63" thickBot="1">
      <c r="A35" s="115" t="s">
        <v>27</v>
      </c>
      <c r="B35" s="133">
        <v>8.5</v>
      </c>
      <c r="C35" s="118">
        <f t="shared" si="25"/>
        <v>0.32092773714525341</v>
      </c>
      <c r="D35" s="30"/>
      <c r="E35" s="2"/>
      <c r="F35" s="15">
        <f t="shared" si="1"/>
        <v>72.25</v>
      </c>
      <c r="G35" s="16">
        <f t="shared" si="2"/>
        <v>2.727885765734654</v>
      </c>
      <c r="H35" s="2"/>
      <c r="K35" s="2"/>
      <c r="L35" s="17">
        <f t="shared" si="3"/>
        <v>0.9739677911975485</v>
      </c>
      <c r="M35" s="2"/>
      <c r="N35" s="18">
        <f t="shared" si="4"/>
        <v>3.1741221906903607E-4</v>
      </c>
      <c r="O35" s="19">
        <f t="shared" si="5"/>
        <v>0.12235294117646944</v>
      </c>
      <c r="P35" s="19">
        <f t="shared" si="6"/>
        <v>1.4970242214532591E-2</v>
      </c>
      <c r="Q35" s="20">
        <f t="shared" si="7"/>
        <v>0.30311167082664547</v>
      </c>
      <c r="R35" s="144">
        <f t="shared" si="24"/>
        <v>1.7816066318607937E-2</v>
      </c>
      <c r="S35" s="21">
        <f t="shared" si="9"/>
        <v>3.1741221906903618E-4</v>
      </c>
      <c r="T35" s="22">
        <f t="shared" si="10"/>
        <v>1.9046849372485464E-3</v>
      </c>
      <c r="U35" s="23">
        <f t="shared" si="11"/>
        <v>3.6278247101814991E-6</v>
      </c>
      <c r="V35" s="24">
        <f t="shared" si="12"/>
        <v>1.9528197910872009E-3</v>
      </c>
      <c r="W35" s="25">
        <f t="shared" si="13"/>
        <v>4.4190720644578775E-2</v>
      </c>
      <c r="X35" s="25">
        <f t="shared" si="14"/>
        <v>0.4031630636191848</v>
      </c>
      <c r="Y35" s="26">
        <f t="shared" si="16"/>
        <v>1.2037062152420224E-35</v>
      </c>
      <c r="Z35" s="15">
        <f t="shared" si="15"/>
        <v>1.4970242214532591E-2</v>
      </c>
      <c r="AA35" s="149">
        <f t="shared" si="17"/>
        <v>0.37738310091356486</v>
      </c>
      <c r="AD35" s="2"/>
      <c r="AF35" s="2"/>
      <c r="AG35" s="2"/>
      <c r="AI35" s="122">
        <f t="shared" si="18"/>
        <v>2.2092488093159304E-2</v>
      </c>
      <c r="AJ35" s="123">
        <v>68067</v>
      </c>
      <c r="AK35" s="126">
        <v>3081002</v>
      </c>
      <c r="AL35" s="125">
        <v>988779</v>
      </c>
      <c r="AM35">
        <f t="shared" si="19"/>
        <v>0.32092773714525341</v>
      </c>
      <c r="AQ35" s="163">
        <v>1.7816066318607937E-2</v>
      </c>
      <c r="AR35" s="164">
        <f t="shared" si="20"/>
        <v>0</v>
      </c>
      <c r="AV35" s="145"/>
      <c r="AZ35" s="145">
        <v>1.7816066318607937E-2</v>
      </c>
      <c r="BC35">
        <f t="shared" si="21"/>
        <v>-0.12503753433362283</v>
      </c>
      <c r="BD35" s="133">
        <v>8.5</v>
      </c>
      <c r="BG35" s="122">
        <f t="shared" si="22"/>
        <v>2.2092488093159304E-2</v>
      </c>
      <c r="BH35" s="123">
        <v>68067</v>
      </c>
      <c r="BI35" s="126">
        <v>3081002</v>
      </c>
      <c r="BJ35" s="125">
        <v>988779</v>
      </c>
      <c r="BK35">
        <f t="shared" si="23"/>
        <v>0.32092773714525341</v>
      </c>
    </row>
    <row r="36" spans="1:63" thickBot="1">
      <c r="A36" s="115" t="s">
        <v>90</v>
      </c>
      <c r="B36" s="133">
        <v>10.16</v>
      </c>
      <c r="C36" s="118">
        <f t="shared" si="25"/>
        <v>0.32872520911946684</v>
      </c>
      <c r="D36" s="30"/>
      <c r="E36" s="2"/>
      <c r="F36" s="15">
        <f t="shared" si="1"/>
        <v>103.2256</v>
      </c>
      <c r="G36" s="16">
        <f t="shared" si="2"/>
        <v>3.3398481246537832</v>
      </c>
      <c r="H36" s="2"/>
      <c r="K36" s="2"/>
      <c r="L36" s="17">
        <f t="shared" si="3"/>
        <v>1.1641779715961285</v>
      </c>
      <c r="M36" s="2"/>
      <c r="N36" s="18">
        <f t="shared" si="4"/>
        <v>3.8890803009536423E-4</v>
      </c>
      <c r="O36" s="19">
        <f t="shared" si="5"/>
        <v>1.7823529411764696</v>
      </c>
      <c r="P36" s="19">
        <f t="shared" si="6"/>
        <v>3.1767820069204116</v>
      </c>
      <c r="Q36" s="20">
        <f t="shared" si="7"/>
        <v>0.30900445786361036</v>
      </c>
      <c r="R36" s="144">
        <f t="shared" si="24"/>
        <v>1.9720751255856483E-2</v>
      </c>
      <c r="S36" s="21">
        <f t="shared" si="9"/>
        <v>3.8890803009536509E-4</v>
      </c>
      <c r="T36" s="22">
        <f t="shared" si="10"/>
        <v>-2.596331051774714E-2</v>
      </c>
      <c r="U36" s="23">
        <f t="shared" si="11"/>
        <v>6.7409349304095925E-4</v>
      </c>
      <c r="V36" s="24">
        <f t="shared" si="12"/>
        <v>1.9472262043225004E-3</v>
      </c>
      <c r="W36" s="25">
        <f t="shared" si="13"/>
        <v>4.4127386103444882E-2</v>
      </c>
      <c r="X36" s="25">
        <f t="shared" si="14"/>
        <v>0.44690504009520177</v>
      </c>
      <c r="Y36" s="26">
        <f t="shared" si="16"/>
        <v>4.3333423748712807E-34</v>
      </c>
      <c r="Z36" s="15">
        <f t="shared" si="15"/>
        <v>3.1767820069204116</v>
      </c>
      <c r="AA36" s="149">
        <f t="shared" si="17"/>
        <v>0.42023919078699873</v>
      </c>
      <c r="AD36" s="2"/>
      <c r="AF36" s="2"/>
      <c r="AG36" s="2"/>
      <c r="AI36" s="122">
        <f t="shared" si="18"/>
        <v>1.9789291624628603E-2</v>
      </c>
      <c r="AJ36" s="123">
        <v>11396</v>
      </c>
      <c r="AK36" s="126">
        <v>575867</v>
      </c>
      <c r="AL36" s="125">
        <v>189302</v>
      </c>
      <c r="AM36">
        <f t="shared" si="19"/>
        <v>0.32872520911946684</v>
      </c>
      <c r="AQ36" s="163">
        <v>1.9720751255856483E-2</v>
      </c>
      <c r="AR36" s="164">
        <f t="shared" si="20"/>
        <v>0</v>
      </c>
      <c r="AV36" s="145"/>
      <c r="AZ36" s="145">
        <v>1.9720751255856483E-2</v>
      </c>
      <c r="BC36">
        <f t="shared" si="21"/>
        <v>-0.15696073792934828</v>
      </c>
      <c r="BD36" s="133">
        <v>10.16</v>
      </c>
      <c r="BG36" s="122">
        <f t="shared" si="22"/>
        <v>1.9789291624628603E-2</v>
      </c>
      <c r="BH36" s="123">
        <v>11396</v>
      </c>
      <c r="BI36" s="126">
        <v>575867</v>
      </c>
      <c r="BJ36" s="125">
        <v>189302</v>
      </c>
      <c r="BK36">
        <f t="shared" si="23"/>
        <v>0.32872520911946684</v>
      </c>
    </row>
    <row r="37" spans="1:63" thickBot="1">
      <c r="A37" s="115" t="s">
        <v>11</v>
      </c>
      <c r="B37" s="133">
        <v>6.3</v>
      </c>
      <c r="C37" s="118">
        <f t="shared" si="25"/>
        <v>0.28905939380492179</v>
      </c>
      <c r="D37" s="30"/>
      <c r="E37" s="2"/>
      <c r="F37" s="15">
        <f t="shared" si="1"/>
        <v>39.69</v>
      </c>
      <c r="G37" s="16">
        <f t="shared" si="2"/>
        <v>1.8210741809710072</v>
      </c>
      <c r="H37" s="2"/>
      <c r="K37" s="2"/>
      <c r="L37" s="17">
        <f t="shared" si="3"/>
        <v>0.72188200994641827</v>
      </c>
      <c r="M37" s="2"/>
      <c r="N37" s="18">
        <f t="shared" si="4"/>
        <v>3.8969546138217081E-5</v>
      </c>
      <c r="O37" s="19">
        <f t="shared" si="5"/>
        <v>-2.0776470588235307</v>
      </c>
      <c r="P37" s="19">
        <f t="shared" si="6"/>
        <v>4.3166173010380682</v>
      </c>
      <c r="Q37" s="20">
        <f t="shared" si="7"/>
        <v>0.29530195306681245</v>
      </c>
      <c r="R37" s="144">
        <f t="shared" si="24"/>
        <v>-6.2425592618906567E-3</v>
      </c>
      <c r="S37" s="21">
        <f t="shared" si="9"/>
        <v>3.8969546138216823E-5</v>
      </c>
      <c r="T37" s="22">
        <f t="shared" si="10"/>
        <v>2.4339913677278335E-2</v>
      </c>
      <c r="U37" s="23">
        <f t="shared" si="11"/>
        <v>5.9243139781736101E-4</v>
      </c>
      <c r="V37" s="24">
        <f t="shared" si="12"/>
        <v>1.94520971248504E-3</v>
      </c>
      <c r="W37" s="25">
        <f t="shared" si="13"/>
        <v>4.4104531654752213E-2</v>
      </c>
      <c r="X37" s="25">
        <f t="shared" si="14"/>
        <v>-0.14154008732610651</v>
      </c>
      <c r="Y37" s="26">
        <f t="shared" si="16"/>
        <v>4.3333423748712807E-34</v>
      </c>
      <c r="Z37" s="15">
        <f t="shared" si="15"/>
        <v>4.3166173010380682</v>
      </c>
      <c r="AA37" s="149">
        <f t="shared" si="17"/>
        <v>-0.16394454858135979</v>
      </c>
      <c r="AD37" s="2"/>
      <c r="AF37" s="2"/>
      <c r="AG37" s="2"/>
      <c r="AI37" s="122">
        <f t="shared" si="18"/>
        <v>2.2586573095731869E-2</v>
      </c>
      <c r="AJ37" s="123">
        <v>63114</v>
      </c>
      <c r="AK37" s="126">
        <v>2794315</v>
      </c>
      <c r="AL37" s="125">
        <v>807723</v>
      </c>
      <c r="AM37">
        <f t="shared" si="19"/>
        <v>0.28905939380492179</v>
      </c>
      <c r="AQ37" s="163">
        <v>-6.2425592618906567E-3</v>
      </c>
      <c r="AR37" s="164">
        <f t="shared" si="20"/>
        <v>0</v>
      </c>
      <c r="AV37" s="145"/>
      <c r="AZ37" s="145">
        <v>-6.2425592618906567E-3</v>
      </c>
      <c r="BC37">
        <f t="shared" si="21"/>
        <v>-8.2729674146516829E-2</v>
      </c>
      <c r="BD37" s="133">
        <v>6.3</v>
      </c>
      <c r="BG37" s="122">
        <f t="shared" si="22"/>
        <v>2.2586573095731869E-2</v>
      </c>
      <c r="BH37" s="123">
        <v>63114</v>
      </c>
      <c r="BI37" s="126">
        <v>2794315</v>
      </c>
      <c r="BJ37" s="125">
        <v>807723</v>
      </c>
      <c r="BK37">
        <f t="shared" si="23"/>
        <v>0.28905939380492179</v>
      </c>
    </row>
    <row r="38" spans="1:63" thickBot="1">
      <c r="A38" s="115" t="s">
        <v>23</v>
      </c>
      <c r="B38" s="133">
        <v>5.2</v>
      </c>
      <c r="C38" s="118">
        <f t="shared" si="25"/>
        <v>0.30949444860228364</v>
      </c>
      <c r="D38" s="30"/>
      <c r="E38" s="2"/>
      <c r="F38" s="15">
        <f t="shared" si="1"/>
        <v>27.040000000000003</v>
      </c>
      <c r="G38" s="16">
        <f t="shared" si="2"/>
        <v>1.6093711327318749</v>
      </c>
      <c r="H38" s="2"/>
      <c r="K38" s="2"/>
      <c r="L38" s="17">
        <f t="shared" si="3"/>
        <v>0.59583911932085321</v>
      </c>
      <c r="M38" s="2"/>
      <c r="N38" s="18">
        <f t="shared" si="4"/>
        <v>3.2751423683615176E-4</v>
      </c>
      <c r="O38" s="19">
        <f t="shared" si="5"/>
        <v>-3.1776470588235304</v>
      </c>
      <c r="P38" s="19">
        <f t="shared" si="6"/>
        <v>10.097440830449834</v>
      </c>
      <c r="Q38" s="20">
        <f t="shared" si="7"/>
        <v>0.29139709418689597</v>
      </c>
      <c r="R38" s="144">
        <f t="shared" si="24"/>
        <v>1.8097354415387679E-2</v>
      </c>
      <c r="S38" s="21">
        <f t="shared" si="9"/>
        <v>3.2751423683615192E-4</v>
      </c>
      <c r="T38" s="22">
        <f t="shared" si="10"/>
        <v>7.5579651228636635E-3</v>
      </c>
      <c r="U38" s="23">
        <f t="shared" si="11"/>
        <v>5.7122836798423549E-5</v>
      </c>
      <c r="V38" s="24">
        <f t="shared" si="12"/>
        <v>1.9349828108256376E-3</v>
      </c>
      <c r="W38" s="25">
        <f t="shared" si="13"/>
        <v>4.3988439513418041E-2</v>
      </c>
      <c r="X38" s="25">
        <f t="shared" si="14"/>
        <v>0.41141160303873342</v>
      </c>
      <c r="Y38" s="26">
        <f t="shared" si="16"/>
        <v>1.2037062152420224E-35</v>
      </c>
      <c r="Z38" s="15">
        <f t="shared" si="15"/>
        <v>10.097440830449834</v>
      </c>
      <c r="AA38" s="149">
        <f t="shared" si="17"/>
        <v>0.38371218333563406</v>
      </c>
      <c r="AD38" s="2"/>
      <c r="AF38" s="2"/>
      <c r="AG38" s="2"/>
      <c r="AI38" s="122">
        <f t="shared" si="18"/>
        <v>2.084906170215205E-2</v>
      </c>
      <c r="AJ38" s="123">
        <v>38193</v>
      </c>
      <c r="AK38" s="126">
        <v>1831881</v>
      </c>
      <c r="AL38" s="125">
        <v>566957</v>
      </c>
      <c r="AM38">
        <f t="shared" si="19"/>
        <v>0.30949444860228364</v>
      </c>
      <c r="AQ38" s="163">
        <v>1.8097354415387679E-2</v>
      </c>
      <c r="AR38" s="164">
        <f t="shared" si="20"/>
        <v>0</v>
      </c>
      <c r="AV38" s="145"/>
      <c r="AZ38" s="145">
        <v>1.8097354415387679E-2</v>
      </c>
      <c r="BC38">
        <f t="shared" si="21"/>
        <v>-6.1575744052963809E-2</v>
      </c>
      <c r="BD38" s="133">
        <v>5.2</v>
      </c>
      <c r="BG38" s="122">
        <f t="shared" si="22"/>
        <v>2.084906170215205E-2</v>
      </c>
      <c r="BH38" s="123">
        <v>38193</v>
      </c>
      <c r="BI38" s="126">
        <v>1831881</v>
      </c>
      <c r="BJ38" s="125">
        <v>566957</v>
      </c>
      <c r="BK38">
        <f t="shared" si="23"/>
        <v>0.30949444860228364</v>
      </c>
    </row>
    <row r="39" spans="1:63" thickBot="1">
      <c r="A39" s="115" t="s">
        <v>50</v>
      </c>
      <c r="B39" s="133">
        <v>6</v>
      </c>
      <c r="C39" s="118">
        <f t="shared" si="25"/>
        <v>0.31989231109235933</v>
      </c>
      <c r="D39" s="30"/>
      <c r="E39" s="2"/>
      <c r="F39" s="15">
        <f t="shared" si="1"/>
        <v>36</v>
      </c>
      <c r="G39" s="16">
        <f t="shared" si="2"/>
        <v>1.9193538665541561</v>
      </c>
      <c r="H39" s="2"/>
      <c r="K39" s="2"/>
      <c r="L39" s="17">
        <f t="shared" si="3"/>
        <v>0.68750667613944594</v>
      </c>
      <c r="M39" s="2"/>
      <c r="N39" s="18">
        <f t="shared" si="4"/>
        <v>6.581954206097818E-4</v>
      </c>
      <c r="O39" s="19">
        <f t="shared" si="5"/>
        <v>-2.3776470588235306</v>
      </c>
      <c r="P39" s="19">
        <f t="shared" si="6"/>
        <v>5.6532055363321856</v>
      </c>
      <c r="Q39" s="20">
        <f t="shared" si="7"/>
        <v>0.29423699155410799</v>
      </c>
      <c r="R39" s="144">
        <f t="shared" si="24"/>
        <v>2.5655319538251342E-2</v>
      </c>
      <c r="S39" s="21">
        <f t="shared" si="9"/>
        <v>6.5819542060978104E-4</v>
      </c>
      <c r="T39" s="22">
        <f t="shared" si="10"/>
        <v>4.359449710048291E-2</v>
      </c>
      <c r="U39" s="23">
        <f t="shared" si="11"/>
        <v>1.9004801774440128E-3</v>
      </c>
      <c r="V39" s="24">
        <f t="shared" si="12"/>
        <v>1.9428451434280671E-3</v>
      </c>
      <c r="W39" s="25">
        <f t="shared" si="13"/>
        <v>4.407771708503138E-2</v>
      </c>
      <c r="X39" s="25">
        <f t="shared" si="14"/>
        <v>0.58204737529303185</v>
      </c>
      <c r="Y39" s="26">
        <f t="shared" si="16"/>
        <v>1.9259299443872359E-34</v>
      </c>
      <c r="Z39" s="15">
        <f t="shared" si="15"/>
        <v>5.6532055363321856</v>
      </c>
      <c r="AA39" s="149">
        <f t="shared" si="17"/>
        <v>0.55376909208277192</v>
      </c>
      <c r="AD39" s="2"/>
      <c r="AF39" s="2"/>
      <c r="AG39" s="2"/>
      <c r="AI39" s="122">
        <f t="shared" si="18"/>
        <v>2.0273664056437851E-2</v>
      </c>
      <c r="AJ39" s="123">
        <v>37336</v>
      </c>
      <c r="AK39" s="124">
        <v>1841601</v>
      </c>
      <c r="AL39" s="125">
        <v>589114</v>
      </c>
      <c r="AM39">
        <f t="shared" si="19"/>
        <v>0.31989231109235933</v>
      </c>
      <c r="AQ39" s="163">
        <v>2.5655319538251342E-2</v>
      </c>
      <c r="AR39" s="164">
        <f t="shared" si="20"/>
        <v>0</v>
      </c>
      <c r="AV39" s="145"/>
      <c r="AZ39" s="145">
        <v>2.5655319538251342E-2</v>
      </c>
      <c r="BC39">
        <f t="shared" si="21"/>
        <v>-7.696042048463872E-2</v>
      </c>
      <c r="BD39" s="133">
        <v>6</v>
      </c>
      <c r="BG39" s="122">
        <f t="shared" si="22"/>
        <v>2.0273664056437851E-2</v>
      </c>
      <c r="BH39" s="123">
        <v>37336</v>
      </c>
      <c r="BI39" s="124">
        <v>1841601</v>
      </c>
      <c r="BJ39" s="125">
        <v>589114</v>
      </c>
      <c r="BK39">
        <f t="shared" si="23"/>
        <v>0.31989231109235933</v>
      </c>
    </row>
    <row r="40" spans="1:63" thickBot="1">
      <c r="A40" s="115" t="s">
        <v>59</v>
      </c>
      <c r="B40" s="133">
        <v>6.4</v>
      </c>
      <c r="C40" s="118">
        <f t="shared" si="25"/>
        <v>0.36490675687644825</v>
      </c>
      <c r="D40" s="30"/>
      <c r="E40" s="2"/>
      <c r="F40" s="15">
        <f t="shared" si="1"/>
        <v>40.960000000000008</v>
      </c>
      <c r="G40" s="16">
        <f t="shared" si="2"/>
        <v>2.3354032440092687</v>
      </c>
      <c r="H40" s="2"/>
      <c r="K40" s="2"/>
      <c r="L40" s="17">
        <f t="shared" si="3"/>
        <v>0.73334045454874242</v>
      </c>
      <c r="M40" s="2"/>
      <c r="N40" s="18">
        <f t="shared" si="4"/>
        <v>4.7955371044983187E-3</v>
      </c>
      <c r="O40" s="19">
        <f t="shared" si="5"/>
        <v>-1.9776470588235302</v>
      </c>
      <c r="P40" s="19">
        <f t="shared" si="6"/>
        <v>3.9110878892733596</v>
      </c>
      <c r="Q40" s="20">
        <f t="shared" si="7"/>
        <v>0.29565694023771399</v>
      </c>
      <c r="R40" s="144">
        <f t="shared" si="24"/>
        <v>6.9249816638734252E-2</v>
      </c>
      <c r="S40" s="21">
        <f t="shared" si="9"/>
        <v>4.7955371044983153E-3</v>
      </c>
      <c r="T40" s="22">
        <f t="shared" si="10"/>
        <v>-3.0041415119541948E-2</v>
      </c>
      <c r="U40" s="23">
        <f t="shared" si="11"/>
        <v>9.0248662238464358E-4</v>
      </c>
      <c r="V40" s="24">
        <f t="shared" si="12"/>
        <v>1.9459271378471899E-3</v>
      </c>
      <c r="W40" s="25">
        <f t="shared" si="13"/>
        <v>4.4112664143612888E-2</v>
      </c>
      <c r="X40" s="25">
        <f t="shared" si="14"/>
        <v>1.5698398177286463</v>
      </c>
      <c r="Y40" s="26">
        <f t="shared" si="16"/>
        <v>4.3333423748712807E-34</v>
      </c>
      <c r="Z40" s="15">
        <f t="shared" si="15"/>
        <v>3.9110878892733596</v>
      </c>
      <c r="AA40" s="149">
        <f t="shared" si="17"/>
        <v>1.5346608129068613</v>
      </c>
      <c r="AD40" s="2"/>
      <c r="AF40" s="2"/>
      <c r="AG40" s="2"/>
      <c r="AI40" s="122">
        <f t="shared" si="18"/>
        <v>1.9167197620564631E-2</v>
      </c>
      <c r="AJ40" s="123">
        <v>13417</v>
      </c>
      <c r="AK40" s="124">
        <v>699998</v>
      </c>
      <c r="AL40" s="125">
        <v>255434</v>
      </c>
      <c r="AM40">
        <f t="shared" si="19"/>
        <v>0.36490675687644825</v>
      </c>
      <c r="AQ40" s="163">
        <v>6.9249816638734252E-2</v>
      </c>
      <c r="AR40" s="164">
        <f t="shared" si="20"/>
        <v>0</v>
      </c>
      <c r="AV40" s="145"/>
      <c r="AZ40" s="145">
        <v>6.9249816638734252E-2</v>
      </c>
      <c r="BC40">
        <f t="shared" si="21"/>
        <v>-8.4652758700476199E-2</v>
      </c>
      <c r="BD40" s="133">
        <v>6.4</v>
      </c>
      <c r="BG40" s="122">
        <f t="shared" si="22"/>
        <v>1.9167197620564631E-2</v>
      </c>
      <c r="BH40" s="123">
        <v>13417</v>
      </c>
      <c r="BI40" s="124">
        <v>699998</v>
      </c>
      <c r="BJ40" s="125">
        <v>255434</v>
      </c>
      <c r="BK40">
        <f t="shared" si="23"/>
        <v>0.36490675687644825</v>
      </c>
    </row>
    <row r="41" spans="1:63" thickBot="1">
      <c r="A41" s="115" t="s">
        <v>62</v>
      </c>
      <c r="B41" s="133">
        <v>6.6</v>
      </c>
      <c r="C41" s="118">
        <f t="shared" si="25"/>
        <v>0.33557531609870928</v>
      </c>
      <c r="D41" s="30"/>
      <c r="E41" s="2"/>
      <c r="F41" s="15">
        <f t="shared" si="1"/>
        <v>43.559999999999995</v>
      </c>
      <c r="G41" s="16">
        <f t="shared" si="2"/>
        <v>2.214797086251481</v>
      </c>
      <c r="H41" s="2"/>
      <c r="K41" s="2"/>
      <c r="L41" s="17">
        <f t="shared" si="3"/>
        <v>0.7562573437533906</v>
      </c>
      <c r="M41" s="2"/>
      <c r="N41" s="18">
        <f t="shared" si="4"/>
        <v>1.5372987496902013E-3</v>
      </c>
      <c r="O41" s="19">
        <f t="shared" si="5"/>
        <v>-1.7776470588235309</v>
      </c>
      <c r="P41" s="19">
        <f t="shared" si="6"/>
        <v>3.16002906574395</v>
      </c>
      <c r="Q41" s="20">
        <f t="shared" si="7"/>
        <v>0.29636691457951697</v>
      </c>
      <c r="R41" s="144">
        <f t="shared" si="24"/>
        <v>3.9208401519192304E-2</v>
      </c>
      <c r="S41" s="21">
        <f t="shared" si="9"/>
        <v>1.5372987496902013E-3</v>
      </c>
      <c r="T41" s="22">
        <f t="shared" si="10"/>
        <v>-4.1535793548019284E-2</v>
      </c>
      <c r="U41" s="23">
        <f t="shared" si="11"/>
        <v>1.7252221456636803E-3</v>
      </c>
      <c r="V41" s="24">
        <f t="shared" si="12"/>
        <v>1.9472558420862282E-3</v>
      </c>
      <c r="W41" s="25">
        <f t="shared" si="13"/>
        <v>4.412772192268969E-2</v>
      </c>
      <c r="X41" s="25">
        <f t="shared" si="14"/>
        <v>0.88852086196255786</v>
      </c>
      <c r="Y41" s="26">
        <f t="shared" si="16"/>
        <v>0</v>
      </c>
      <c r="Z41" s="15">
        <f t="shared" si="15"/>
        <v>3.16002906574395</v>
      </c>
      <c r="AA41" s="149">
        <f t="shared" si="17"/>
        <v>0.85871826665663986</v>
      </c>
      <c r="AD41" s="2"/>
      <c r="AF41" s="2"/>
      <c r="AG41" s="2"/>
      <c r="AI41" s="122">
        <f t="shared" si="18"/>
        <v>2.0714604927762049E-2</v>
      </c>
      <c r="AJ41" s="123">
        <v>25818</v>
      </c>
      <c r="AK41" s="126">
        <v>1246367</v>
      </c>
      <c r="AL41" s="125">
        <v>418250</v>
      </c>
      <c r="AM41">
        <f t="shared" si="19"/>
        <v>0.33557531609870928</v>
      </c>
      <c r="AQ41" s="163">
        <v>3.9208401519192304E-2</v>
      </c>
      <c r="AR41" s="164">
        <f t="shared" si="20"/>
        <v>0</v>
      </c>
      <c r="AV41" s="145"/>
      <c r="AZ41" s="145">
        <v>3.9208401519192304E-2</v>
      </c>
      <c r="BC41">
        <f t="shared" si="21"/>
        <v>-8.8498927808394912E-2</v>
      </c>
      <c r="BD41" s="133">
        <v>6.6</v>
      </c>
      <c r="BG41" s="122">
        <f t="shared" si="22"/>
        <v>2.0714604927762049E-2</v>
      </c>
      <c r="BH41" s="123">
        <v>25818</v>
      </c>
      <c r="BI41" s="126">
        <v>1246367</v>
      </c>
      <c r="BJ41" s="125">
        <v>418250</v>
      </c>
      <c r="BK41">
        <f t="shared" si="23"/>
        <v>0.33557531609870928</v>
      </c>
    </row>
    <row r="42" spans="1:63" thickBot="1">
      <c r="A42" s="115" t="s">
        <v>30</v>
      </c>
      <c r="B42" s="133">
        <v>9.3000000000000007</v>
      </c>
      <c r="C42" s="118">
        <f t="shared" si="25"/>
        <v>0.30362417616503051</v>
      </c>
      <c r="D42" s="30"/>
      <c r="E42" s="2"/>
      <c r="F42" s="15">
        <f t="shared" si="1"/>
        <v>86.490000000000009</v>
      </c>
      <c r="G42" s="16">
        <f t="shared" si="2"/>
        <v>2.823704838334784</v>
      </c>
      <c r="H42" s="2"/>
      <c r="K42" s="2"/>
      <c r="L42" s="17">
        <f t="shared" si="3"/>
        <v>1.0656353480161413</v>
      </c>
      <c r="M42" s="2"/>
      <c r="N42" s="18">
        <f t="shared" si="4"/>
        <v>5.416753655847302E-6</v>
      </c>
      <c r="O42" s="19">
        <f t="shared" si="5"/>
        <v>0.92235294117647015</v>
      </c>
      <c r="P42" s="19">
        <f t="shared" si="6"/>
        <v>0.85073494809688499</v>
      </c>
      <c r="Q42" s="20">
        <f t="shared" si="7"/>
        <v>0.30595156819385749</v>
      </c>
      <c r="R42" s="144">
        <f t="shared" si="24"/>
        <v>-2.32739202882698E-3</v>
      </c>
      <c r="S42" s="21">
        <f t="shared" si="9"/>
        <v>5.4167536558473663E-6</v>
      </c>
      <c r="T42" s="22">
        <f t="shared" si="10"/>
        <v>-3.0338382245447659E-2</v>
      </c>
      <c r="U42" s="23">
        <f t="shared" si="11"/>
        <v>9.2041743727089374E-4</v>
      </c>
      <c r="V42" s="24">
        <f t="shared" si="12"/>
        <v>1.9513412329866171E-3</v>
      </c>
      <c r="W42" s="25">
        <f t="shared" si="13"/>
        <v>4.4173988194259946E-2</v>
      </c>
      <c r="X42" s="25">
        <f t="shared" si="14"/>
        <v>-5.2686934641083774E-2</v>
      </c>
      <c r="Y42" s="26">
        <f t="shared" si="16"/>
        <v>1.9259299443872359E-34</v>
      </c>
      <c r="Z42" s="15">
        <f t="shared" si="15"/>
        <v>0.85073494809688499</v>
      </c>
      <c r="AA42" s="149">
        <f t="shared" si="17"/>
        <v>-7.5851890563029836E-2</v>
      </c>
      <c r="AD42" s="2"/>
      <c r="AF42" s="2"/>
      <c r="AG42" s="2"/>
      <c r="AI42" s="122">
        <f t="shared" si="18"/>
        <v>1.8200020014041723E-2</v>
      </c>
      <c r="AJ42" s="123">
        <v>45650</v>
      </c>
      <c r="AK42" s="124">
        <v>2508239</v>
      </c>
      <c r="AL42" s="125">
        <v>761562</v>
      </c>
      <c r="AM42">
        <f t="shared" si="19"/>
        <v>0.30362417616503051</v>
      </c>
      <c r="AQ42" s="163">
        <v>-2.32739202882698E-3</v>
      </c>
      <c r="AR42" s="164">
        <f t="shared" si="20"/>
        <v>0</v>
      </c>
      <c r="AV42" s="145"/>
      <c r="AZ42" s="145">
        <v>-2.32739202882698E-3</v>
      </c>
      <c r="BC42">
        <f t="shared" si="21"/>
        <v>-0.14042221076529776</v>
      </c>
      <c r="BD42" s="133">
        <v>9.3000000000000007</v>
      </c>
      <c r="BG42" s="122">
        <f t="shared" si="22"/>
        <v>1.8200020014041723E-2</v>
      </c>
      <c r="BH42" s="123">
        <v>45650</v>
      </c>
      <c r="BI42" s="124">
        <v>2508239</v>
      </c>
      <c r="BJ42" s="125">
        <v>761562</v>
      </c>
      <c r="BK42">
        <f t="shared" si="23"/>
        <v>0.30362417616503051</v>
      </c>
    </row>
    <row r="43" spans="1:63" thickBot="1">
      <c r="A43" s="115" t="s">
        <v>53</v>
      </c>
      <c r="B43" s="133">
        <v>10.7</v>
      </c>
      <c r="C43" s="118">
        <f t="shared" si="25"/>
        <v>0.27825561431220386</v>
      </c>
      <c r="D43" s="30"/>
      <c r="E43" s="2"/>
      <c r="F43" s="15">
        <f t="shared" si="1"/>
        <v>114.48999999999998</v>
      </c>
      <c r="G43" s="16">
        <f t="shared" si="2"/>
        <v>2.9773350731405812</v>
      </c>
      <c r="H43" s="2"/>
      <c r="K43" s="2"/>
      <c r="L43" s="17">
        <f t="shared" si="3"/>
        <v>1.2260535724486785</v>
      </c>
      <c r="M43" s="2"/>
      <c r="N43" s="18">
        <f t="shared" si="4"/>
        <v>1.067052808937862E-3</v>
      </c>
      <c r="O43" s="19">
        <f t="shared" si="5"/>
        <v>2.3223529411764687</v>
      </c>
      <c r="P43" s="19">
        <f t="shared" si="6"/>
        <v>5.3933231833909945</v>
      </c>
      <c r="Q43" s="20">
        <f t="shared" si="7"/>
        <v>0.3109213885864785</v>
      </c>
      <c r="R43" s="144">
        <f t="shared" si="24"/>
        <v>-3.2665774274274639E-2</v>
      </c>
      <c r="S43" s="21">
        <f t="shared" si="9"/>
        <v>1.0670528089378629E-3</v>
      </c>
      <c r="T43" s="22">
        <f t="shared" si="10"/>
        <v>3.1127660548356195E-2</v>
      </c>
      <c r="U43" s="23">
        <f t="shared" si="11"/>
        <v>9.6893125121369072E-4</v>
      </c>
      <c r="V43" s="24">
        <f t="shared" si="12"/>
        <v>1.9433049034005038E-3</v>
      </c>
      <c r="W43" s="25">
        <f t="shared" si="13"/>
        <v>4.4082932109837068E-2</v>
      </c>
      <c r="X43" s="25">
        <f t="shared" si="14"/>
        <v>-0.74100729490689432</v>
      </c>
      <c r="Y43" s="26">
        <f t="shared" si="16"/>
        <v>1.9259299443872359E-34</v>
      </c>
      <c r="Z43" s="15">
        <f t="shared" si="15"/>
        <v>5.3933231833909945</v>
      </c>
      <c r="AA43" s="149">
        <f t="shared" si="17"/>
        <v>-0.7584763029782956</v>
      </c>
      <c r="AD43" s="2"/>
      <c r="AF43" s="2"/>
      <c r="AG43" s="2"/>
      <c r="AI43" s="122">
        <f t="shared" si="18"/>
        <v>2.3959343451686009E-2</v>
      </c>
      <c r="AJ43" s="123">
        <v>43609</v>
      </c>
      <c r="AK43" s="126">
        <v>1820125</v>
      </c>
      <c r="AL43" s="125">
        <v>506460</v>
      </c>
      <c r="AM43">
        <f t="shared" si="19"/>
        <v>0.27825561431220386</v>
      </c>
      <c r="AQ43" s="163">
        <v>-3.2665774274274639E-2</v>
      </c>
      <c r="AR43" s="164">
        <f t="shared" si="20"/>
        <v>0</v>
      </c>
      <c r="AV43" s="145"/>
      <c r="AZ43" s="145">
        <v>-3.2665774274274639E-2</v>
      </c>
      <c r="BC43">
        <f t="shared" si="21"/>
        <v>-0.16734539452072883</v>
      </c>
      <c r="BD43" s="133">
        <v>10.7</v>
      </c>
      <c r="BG43" s="122">
        <f t="shared" si="22"/>
        <v>2.3959343451686009E-2</v>
      </c>
      <c r="BH43" s="123">
        <v>43609</v>
      </c>
      <c r="BI43" s="126">
        <v>1820125</v>
      </c>
      <c r="BJ43" s="125">
        <v>506460</v>
      </c>
      <c r="BK43">
        <f t="shared" si="23"/>
        <v>0.27825561431220386</v>
      </c>
    </row>
    <row r="44" spans="1:63" thickBot="1">
      <c r="A44" s="117" t="s">
        <v>89</v>
      </c>
      <c r="B44" s="135">
        <v>9</v>
      </c>
      <c r="C44" s="118">
        <f t="shared" si="25"/>
        <v>0.33361190635861371</v>
      </c>
      <c r="D44" s="30"/>
      <c r="E44" s="2"/>
      <c r="F44" s="15">
        <f t="shared" si="1"/>
        <v>81</v>
      </c>
      <c r="G44" s="16">
        <f t="shared" si="2"/>
        <v>3.0025071572275235</v>
      </c>
      <c r="H44" s="2"/>
      <c r="K44" s="2"/>
      <c r="L44" s="17">
        <f t="shared" si="3"/>
        <v>1.031260014209169</v>
      </c>
      <c r="M44" s="2"/>
      <c r="N44" s="18">
        <f t="shared" si="4"/>
        <v>8.2514284155992543E-4</v>
      </c>
      <c r="O44" s="19">
        <f>(B2-$B$91)</f>
        <v>-2.5776470588235307</v>
      </c>
      <c r="P44" s="19">
        <f t="shared" si="6"/>
        <v>0.38732318339100202</v>
      </c>
      <c r="Q44" s="20">
        <f t="shared" si="7"/>
        <v>0.30488660668115297</v>
      </c>
      <c r="R44" s="144">
        <f>C30-Q44</f>
        <v>-1.5381137259184441E-3</v>
      </c>
      <c r="S44" s="21">
        <f t="shared" si="9"/>
        <v>2.3657938338587184E-6</v>
      </c>
      <c r="T44" s="22">
        <f t="shared" si="10"/>
        <v>-4.7787316169111083E-2</v>
      </c>
      <c r="U44" s="23">
        <f t="shared" si="11"/>
        <v>2.2836275866465854E-3</v>
      </c>
      <c r="V44" s="24">
        <f t="shared" si="12"/>
        <v>1.9521610584874898E-3</v>
      </c>
      <c r="W44" s="25">
        <f t="shared" si="13"/>
        <v>4.4183266724943389E-2</v>
      </c>
      <c r="X44" s="25">
        <f t="shared" si="14"/>
        <v>-3.4812132282878744E-2</v>
      </c>
      <c r="Y44" s="26">
        <f>(Q44-$B$114-$B$113*B2)^2</f>
        <v>1.2904027290076242E-4</v>
      </c>
      <c r="Z44" s="15">
        <f t="shared" si="15"/>
        <v>0.38732318339100202</v>
      </c>
      <c r="AA44" s="149">
        <f t="shared" si="17"/>
        <v>-5.8092847467187014E-2</v>
      </c>
      <c r="AD44" s="2"/>
      <c r="AF44" s="2"/>
      <c r="AG44" s="2"/>
      <c r="AI44" s="122">
        <f t="shared" si="18"/>
        <v>2.3117589588744516E-2</v>
      </c>
      <c r="AJ44" s="130">
        <v>13582</v>
      </c>
      <c r="AK44" s="126">
        <v>587518</v>
      </c>
      <c r="AL44" s="125">
        <v>196003</v>
      </c>
      <c r="AM44">
        <f t="shared" si="19"/>
        <v>0.33361190635861371</v>
      </c>
      <c r="AQ44" s="163">
        <v>-1.5381137259184441E-3</v>
      </c>
      <c r="AR44" s="164">
        <f t="shared" si="20"/>
        <v>0</v>
      </c>
      <c r="AV44" s="145"/>
      <c r="AZ44" s="145">
        <v>-1.5381137259184441E-3</v>
      </c>
      <c r="BC44">
        <f t="shared" si="21"/>
        <v>-0.13465295710341965</v>
      </c>
      <c r="BD44" s="135">
        <v>9</v>
      </c>
      <c r="BG44" s="122">
        <f t="shared" si="22"/>
        <v>2.3117589588744516E-2</v>
      </c>
      <c r="BH44" s="130">
        <v>13582</v>
      </c>
      <c r="BI44" s="126">
        <v>587518</v>
      </c>
      <c r="BJ44" s="125">
        <v>196003</v>
      </c>
      <c r="BK44">
        <f t="shared" si="23"/>
        <v>0.33361190635861371</v>
      </c>
    </row>
    <row r="45" spans="1:63" thickBot="1">
      <c r="A45" s="115" t="s">
        <v>75</v>
      </c>
      <c r="B45" s="133">
        <v>4.9000000000000004</v>
      </c>
      <c r="C45" s="118">
        <f t="shared" si="25"/>
        <v>0.24100670277916192</v>
      </c>
      <c r="D45" s="30"/>
      <c r="E45" s="2"/>
      <c r="F45" s="15">
        <f t="shared" si="1"/>
        <v>24.010000000000005</v>
      </c>
      <c r="G45" s="16">
        <f t="shared" si="2"/>
        <v>1.1809328436178934</v>
      </c>
      <c r="H45" s="2"/>
      <c r="K45" s="2"/>
      <c r="L45" s="17">
        <f t="shared" si="3"/>
        <v>0.56146378551388099</v>
      </c>
      <c r="M45" s="2"/>
      <c r="N45" s="18">
        <f t="shared" si="4"/>
        <v>2.4329980343294755E-3</v>
      </c>
      <c r="O45" s="19">
        <f t="shared" ref="O45:O86" si="26">(B45-$B$91)</f>
        <v>-3.4776470588235302</v>
      </c>
      <c r="P45" s="19">
        <f t="shared" si="6"/>
        <v>12.09402906574395</v>
      </c>
      <c r="Q45" s="20">
        <f t="shared" si="7"/>
        <v>0.29033213267419145</v>
      </c>
      <c r="R45" s="144">
        <f t="shared" ref="R45:R86" si="27">C45-Q45</f>
        <v>-4.9325429895029527E-2</v>
      </c>
      <c r="S45" s="21">
        <f t="shared" si="9"/>
        <v>2.4329980343294724E-3</v>
      </c>
      <c r="T45" s="22">
        <f t="shared" si="10"/>
        <v>2.7772132580953235E-2</v>
      </c>
      <c r="U45" s="23">
        <f t="shared" si="11"/>
        <v>7.7129134809404416E-4</v>
      </c>
      <c r="V45" s="24">
        <f t="shared" si="12"/>
        <v>1.931450630430788E-3</v>
      </c>
      <c r="W45" s="25">
        <f t="shared" si="13"/>
        <v>4.394827221212215E-2</v>
      </c>
      <c r="X45" s="25">
        <f t="shared" si="14"/>
        <v>-1.1223519699922175</v>
      </c>
      <c r="Y45" s="26">
        <f t="shared" ref="Y45:Y86" si="28">(Q45-$B$114-$B$113*B45)^2</f>
        <v>5.8981604546859098E-34</v>
      </c>
      <c r="Z45" s="15">
        <f t="shared" si="15"/>
        <v>12.09402906574395</v>
      </c>
      <c r="AA45" s="149">
        <f t="shared" si="17"/>
        <v>-1.1333244915584537</v>
      </c>
      <c r="AD45" s="2"/>
      <c r="AF45" s="2"/>
      <c r="AG45" s="2"/>
      <c r="AI45" s="122">
        <f t="shared" si="18"/>
        <v>1.5503190651471557E-2</v>
      </c>
      <c r="AJ45" s="123">
        <v>7716</v>
      </c>
      <c r="AK45" s="126">
        <v>497704</v>
      </c>
      <c r="AL45" s="125">
        <v>119950</v>
      </c>
      <c r="AM45">
        <f t="shared" si="19"/>
        <v>0.24100670277916192</v>
      </c>
      <c r="AQ45" s="163">
        <v>-4.9325429895029527E-2</v>
      </c>
      <c r="AR45" s="164">
        <f t="shared" si="20"/>
        <v>0</v>
      </c>
      <c r="AV45" s="145"/>
      <c r="AZ45" s="145">
        <v>-4.9325429895029527E-2</v>
      </c>
      <c r="BC45">
        <f t="shared" si="21"/>
        <v>-5.5806490391085727E-2</v>
      </c>
      <c r="BD45" s="133">
        <v>4.9000000000000004</v>
      </c>
      <c r="BG45" s="122">
        <f t="shared" si="22"/>
        <v>1.5503190651471557E-2</v>
      </c>
      <c r="BH45" s="123">
        <v>7716</v>
      </c>
      <c r="BI45" s="126">
        <v>497704</v>
      </c>
      <c r="BJ45" s="125">
        <v>119950</v>
      </c>
      <c r="BK45">
        <f t="shared" si="23"/>
        <v>0.24100670277916192</v>
      </c>
    </row>
    <row r="46" spans="1:63" thickBot="1">
      <c r="A46" s="115" t="s">
        <v>74</v>
      </c>
      <c r="B46" s="133">
        <v>8.3000000000000007</v>
      </c>
      <c r="C46" s="118">
        <f t="shared" si="25"/>
        <v>0.28084839917076621</v>
      </c>
      <c r="D46" s="30"/>
      <c r="E46" s="2"/>
      <c r="F46" s="15">
        <f t="shared" si="1"/>
        <v>68.890000000000015</v>
      </c>
      <c r="G46" s="16">
        <f t="shared" si="2"/>
        <v>2.3310417131173597</v>
      </c>
      <c r="H46" s="2"/>
      <c r="K46" s="2"/>
      <c r="L46" s="17">
        <f t="shared" si="3"/>
        <v>0.95105090199290032</v>
      </c>
      <c r="M46" s="2"/>
      <c r="N46" s="18">
        <f t="shared" si="4"/>
        <v>4.6454462510896752E-4</v>
      </c>
      <c r="O46" s="19">
        <f t="shared" si="26"/>
        <v>-7.7647058823529846E-2</v>
      </c>
      <c r="P46" s="19">
        <f t="shared" si="6"/>
        <v>6.0290657439447046E-3</v>
      </c>
      <c r="Q46" s="20">
        <f t="shared" si="7"/>
        <v>0.3024016964848425</v>
      </c>
      <c r="R46" s="144">
        <f t="shared" si="27"/>
        <v>-2.1553297314076292E-2</v>
      </c>
      <c r="S46" s="21">
        <f t="shared" si="9"/>
        <v>4.6454462510896828E-4</v>
      </c>
      <c r="T46" s="22">
        <f t="shared" si="10"/>
        <v>-1.2435910747511936E-3</v>
      </c>
      <c r="U46" s="23">
        <f t="shared" si="11"/>
        <v>1.5465187612008287E-6</v>
      </c>
      <c r="V46" s="24">
        <f t="shared" si="12"/>
        <v>1.9528356089948088E-3</v>
      </c>
      <c r="W46" s="25">
        <f t="shared" si="13"/>
        <v>4.4190899617396438E-2</v>
      </c>
      <c r="X46" s="25">
        <f t="shared" si="14"/>
        <v>-0.48773158049924603</v>
      </c>
      <c r="Y46" s="26">
        <f t="shared" si="28"/>
        <v>3.009265538105056E-34</v>
      </c>
      <c r="Z46" s="15">
        <f t="shared" si="15"/>
        <v>6.0290657439447046E-3</v>
      </c>
      <c r="AA46" s="149">
        <f t="shared" si="17"/>
        <v>-0.50844161114591169</v>
      </c>
      <c r="AD46" s="2"/>
      <c r="AF46" s="2"/>
      <c r="AG46" s="2"/>
      <c r="AI46" s="122">
        <f t="shared" si="18"/>
        <v>1.907048013017263E-2</v>
      </c>
      <c r="AJ46" s="123">
        <v>4020</v>
      </c>
      <c r="AK46" s="126">
        <v>210797</v>
      </c>
      <c r="AL46" s="125">
        <v>59202</v>
      </c>
      <c r="AM46">
        <f t="shared" si="19"/>
        <v>0.28084839917076621</v>
      </c>
      <c r="AQ46" s="163">
        <v>-2.1553297314076292E-2</v>
      </c>
      <c r="AR46" s="164">
        <f t="shared" si="20"/>
        <v>0</v>
      </c>
      <c r="AV46" s="145"/>
      <c r="AZ46" s="145">
        <v>-2.1553297314076292E-2</v>
      </c>
      <c r="BC46">
        <f t="shared" si="21"/>
        <v>-0.12119136522570412</v>
      </c>
      <c r="BD46" s="133">
        <v>8.3000000000000007</v>
      </c>
      <c r="BG46" s="122">
        <f t="shared" si="22"/>
        <v>1.907048013017263E-2</v>
      </c>
      <c r="BH46" s="123">
        <v>4020</v>
      </c>
      <c r="BI46" s="126">
        <v>210797</v>
      </c>
      <c r="BJ46" s="125">
        <v>59202</v>
      </c>
      <c r="BK46">
        <f t="shared" si="23"/>
        <v>0.28084839917076621</v>
      </c>
    </row>
    <row r="47" spans="1:63" thickBot="1">
      <c r="A47" s="115" t="s">
        <v>77</v>
      </c>
      <c r="B47" s="133">
        <v>9</v>
      </c>
      <c r="C47" s="118">
        <f t="shared" si="25"/>
        <v>0.28208971829232549</v>
      </c>
      <c r="D47" s="30"/>
      <c r="E47" s="2"/>
      <c r="F47" s="15">
        <f t="shared" si="1"/>
        <v>81</v>
      </c>
      <c r="G47" s="16">
        <f t="shared" si="2"/>
        <v>2.5388074646309295</v>
      </c>
      <c r="H47" s="2"/>
      <c r="K47" s="2"/>
      <c r="L47" s="17">
        <f t="shared" si="3"/>
        <v>1.031260014209169</v>
      </c>
      <c r="M47" s="2"/>
      <c r="N47" s="18">
        <f t="shared" si="4"/>
        <v>5.1969812021265772E-4</v>
      </c>
      <c r="O47" s="19">
        <f t="shared" si="26"/>
        <v>0.62235294117646944</v>
      </c>
      <c r="P47" s="19">
        <f t="shared" si="6"/>
        <v>0.38732318339100202</v>
      </c>
      <c r="Q47" s="20">
        <f t="shared" si="7"/>
        <v>0.30488660668115297</v>
      </c>
      <c r="R47" s="144">
        <f t="shared" si="27"/>
        <v>-2.2796888388827485E-2</v>
      </c>
      <c r="S47" s="21">
        <f t="shared" si="9"/>
        <v>5.196981202126574E-4</v>
      </c>
      <c r="T47" s="22">
        <f t="shared" si="10"/>
        <v>-2.0961613979345983E-2</v>
      </c>
      <c r="U47" s="23">
        <f t="shared" si="11"/>
        <v>4.3938926061911292E-4</v>
      </c>
      <c r="V47" s="24">
        <f t="shared" si="12"/>
        <v>1.9521610584874898E-3</v>
      </c>
      <c r="W47" s="25">
        <f t="shared" si="13"/>
        <v>4.4183266724943389E-2</v>
      </c>
      <c r="X47" s="25">
        <f t="shared" si="14"/>
        <v>-0.51596203899422499</v>
      </c>
      <c r="Y47" s="26">
        <f t="shared" si="28"/>
        <v>4.8148248609680896E-35</v>
      </c>
      <c r="Z47" s="15">
        <f t="shared" si="15"/>
        <v>0.38732318339100202</v>
      </c>
      <c r="AA47" s="149">
        <f t="shared" si="17"/>
        <v>-0.53642285351470287</v>
      </c>
      <c r="AD47" s="2"/>
      <c r="AF47" s="2"/>
      <c r="AG47" s="2"/>
      <c r="AI47" s="122">
        <f t="shared" si="18"/>
        <v>1.9016664853245192E-2</v>
      </c>
      <c r="AJ47" s="123">
        <v>77601</v>
      </c>
      <c r="AK47" s="126">
        <v>4080684</v>
      </c>
      <c r="AL47" s="125">
        <v>1151119</v>
      </c>
      <c r="AM47">
        <f t="shared" si="19"/>
        <v>0.28208971829232549</v>
      </c>
      <c r="AQ47" s="163">
        <v>-2.2796888388827485E-2</v>
      </c>
      <c r="AR47" s="164">
        <f t="shared" si="20"/>
        <v>0</v>
      </c>
      <c r="AV47" s="145"/>
      <c r="AZ47" s="145">
        <v>-2.2796888388827485E-2</v>
      </c>
      <c r="BC47">
        <f t="shared" si="21"/>
        <v>-0.13465295710341965</v>
      </c>
      <c r="BD47" s="133">
        <v>9</v>
      </c>
      <c r="BG47" s="122">
        <f t="shared" si="22"/>
        <v>1.9016664853245192E-2</v>
      </c>
      <c r="BH47" s="123">
        <v>77601</v>
      </c>
      <c r="BI47" s="126">
        <v>4080684</v>
      </c>
      <c r="BJ47" s="125">
        <v>1151119</v>
      </c>
      <c r="BK47">
        <f t="shared" si="23"/>
        <v>0.28208971829232549</v>
      </c>
    </row>
    <row r="48" spans="1:63" thickBot="1">
      <c r="A48" s="115" t="s">
        <v>35</v>
      </c>
      <c r="B48" s="133">
        <v>8.8000000000000007</v>
      </c>
      <c r="C48" s="118">
        <f t="shared" si="25"/>
        <v>0.26041812997117653</v>
      </c>
      <c r="D48" s="30"/>
      <c r="E48" s="2"/>
      <c r="F48" s="15">
        <f t="shared" si="1"/>
        <v>77.440000000000012</v>
      </c>
      <c r="G48" s="16">
        <f t="shared" si="2"/>
        <v>2.2916795437463535</v>
      </c>
      <c r="H48" s="2"/>
      <c r="K48" s="2"/>
      <c r="L48" s="17">
        <f t="shared" si="3"/>
        <v>1.0083431250045209</v>
      </c>
      <c r="M48" s="2"/>
      <c r="N48" s="18">
        <f t="shared" si="4"/>
        <v>1.9148065295054419E-3</v>
      </c>
      <c r="O48" s="19">
        <f t="shared" si="26"/>
        <v>0.42235294117647015</v>
      </c>
      <c r="P48" s="19">
        <f t="shared" si="6"/>
        <v>0.17838200692041487</v>
      </c>
      <c r="Q48" s="20">
        <f t="shared" si="7"/>
        <v>0.30417663233934999</v>
      </c>
      <c r="R48" s="144">
        <f t="shared" si="27"/>
        <v>-4.3758502368173469E-2</v>
      </c>
      <c r="S48" s="21">
        <f t="shared" si="9"/>
        <v>1.914806529505443E-3</v>
      </c>
      <c r="T48" s="22">
        <f t="shared" si="10"/>
        <v>-2.4135780937606627E-2</v>
      </c>
      <c r="U48" s="23">
        <f t="shared" si="11"/>
        <v>5.8253592146813543E-4</v>
      </c>
      <c r="V48" s="24">
        <f t="shared" si="12"/>
        <v>1.9525306980126356E-3</v>
      </c>
      <c r="W48" s="25">
        <f t="shared" si="13"/>
        <v>4.4187449553155199E-2</v>
      </c>
      <c r="X48" s="25">
        <f t="shared" si="14"/>
        <v>-0.99029255615973655</v>
      </c>
      <c r="Y48" s="26">
        <f t="shared" si="28"/>
        <v>1.9259299443872359E-34</v>
      </c>
      <c r="Z48" s="15">
        <f t="shared" si="15"/>
        <v>0.17838200692041487</v>
      </c>
      <c r="AA48" s="149">
        <f t="shared" si="17"/>
        <v>-1.0080666382809045</v>
      </c>
      <c r="AD48" s="2"/>
      <c r="AF48" s="2"/>
      <c r="AG48" s="2"/>
      <c r="AI48" s="122">
        <f t="shared" si="18"/>
        <v>2.0040051392108869E-2</v>
      </c>
      <c r="AJ48" s="123">
        <v>19544</v>
      </c>
      <c r="AK48" s="124">
        <v>975247</v>
      </c>
      <c r="AL48" s="125">
        <v>253972</v>
      </c>
      <c r="AM48">
        <f t="shared" si="19"/>
        <v>0.26041812997117653</v>
      </c>
      <c r="AQ48" s="163">
        <v>-4.3758502368173469E-2</v>
      </c>
      <c r="AR48" s="164">
        <f t="shared" si="20"/>
        <v>0</v>
      </c>
      <c r="AV48" s="145"/>
      <c r="AZ48" s="145">
        <v>-4.3758502368173469E-2</v>
      </c>
      <c r="BC48">
        <f t="shared" si="21"/>
        <v>-0.13080678799550094</v>
      </c>
      <c r="BD48" s="133">
        <v>8.8000000000000007</v>
      </c>
      <c r="BG48" s="122">
        <f t="shared" si="22"/>
        <v>2.0040051392108869E-2</v>
      </c>
      <c r="BH48" s="123">
        <v>19544</v>
      </c>
      <c r="BI48" s="124">
        <v>975247</v>
      </c>
      <c r="BJ48" s="125">
        <v>253972</v>
      </c>
      <c r="BK48">
        <f t="shared" si="23"/>
        <v>0.26041812997117653</v>
      </c>
    </row>
    <row r="49" spans="1:63" thickBot="1">
      <c r="A49" s="115" t="s">
        <v>6</v>
      </c>
      <c r="B49" s="133">
        <v>1.84</v>
      </c>
      <c r="C49" s="118">
        <f t="shared" si="25"/>
        <v>0.21157524193882546</v>
      </c>
      <c r="D49" s="30"/>
      <c r="E49" s="2"/>
      <c r="F49" s="15">
        <f t="shared" si="1"/>
        <v>3.3856000000000002</v>
      </c>
      <c r="G49" s="16">
        <f t="shared" si="2"/>
        <v>0.38929844516743889</v>
      </c>
      <c r="H49" s="2"/>
      <c r="K49" s="2"/>
      <c r="L49" s="17">
        <f t="shared" si="3"/>
        <v>0.21083538068276345</v>
      </c>
      <c r="M49" s="2"/>
      <c r="N49" s="18">
        <f t="shared" si="4"/>
        <v>4.6096337056055299E-3</v>
      </c>
      <c r="O49" s="19">
        <f t="shared" si="26"/>
        <v>-6.5376470588235307</v>
      </c>
      <c r="P49" s="19">
        <f t="shared" si="6"/>
        <v>42.740829065743959</v>
      </c>
      <c r="Q49" s="20">
        <f t="shared" si="7"/>
        <v>0.27946952524460555</v>
      </c>
      <c r="R49" s="144">
        <f t="shared" si="27"/>
        <v>-6.7894283305780095E-2</v>
      </c>
      <c r="S49" s="21">
        <f t="shared" si="9"/>
        <v>4.6096337056055299E-3</v>
      </c>
      <c r="T49" s="22">
        <f t="shared" si="10"/>
        <v>6.7828030223454627E-3</v>
      </c>
      <c r="U49" s="23">
        <f t="shared" si="11"/>
        <v>4.6006416839938746E-5</v>
      </c>
      <c r="V49" s="24">
        <f t="shared" si="12"/>
        <v>1.8772331286889096E-3</v>
      </c>
      <c r="W49" s="25">
        <f t="shared" si="13"/>
        <v>4.3327048465005201E-2</v>
      </c>
      <c r="X49" s="25">
        <f t="shared" si="14"/>
        <v>-1.5670184263905627</v>
      </c>
      <c r="Y49" s="26">
        <f t="shared" si="28"/>
        <v>3.6863502841786936E-35</v>
      </c>
      <c r="Z49" s="15">
        <f t="shared" si="15"/>
        <v>42.740829065743959</v>
      </c>
      <c r="AA49" s="149">
        <f t="shared" si="17"/>
        <v>-1.5511303108071319</v>
      </c>
      <c r="AD49" s="2"/>
      <c r="AF49" s="2"/>
      <c r="AG49" s="2"/>
      <c r="AI49" s="122">
        <f t="shared" si="18"/>
        <v>1.6842176098877219E-2</v>
      </c>
      <c r="AJ49" s="123">
        <v>54060</v>
      </c>
      <c r="AK49" s="126">
        <v>3209799</v>
      </c>
      <c r="AL49" s="125">
        <v>679114</v>
      </c>
      <c r="AM49">
        <f t="shared" si="19"/>
        <v>0.21157524193882546</v>
      </c>
      <c r="AQ49" s="163">
        <v>-6.7894283305780095E-2</v>
      </c>
      <c r="AR49" s="164">
        <f t="shared" si="20"/>
        <v>0</v>
      </c>
      <c r="AV49" s="145"/>
      <c r="AZ49" s="145">
        <v>-6.7894283305780095E-2</v>
      </c>
      <c r="BC49">
        <f t="shared" si="21"/>
        <v>3.0398969600708287E-3</v>
      </c>
      <c r="BD49" s="133">
        <v>1.84</v>
      </c>
      <c r="BG49" s="122">
        <f t="shared" si="22"/>
        <v>1.6842176098877219E-2</v>
      </c>
      <c r="BH49" s="123">
        <v>54060</v>
      </c>
      <c r="BI49" s="126">
        <v>3209799</v>
      </c>
      <c r="BJ49" s="125">
        <v>679114</v>
      </c>
      <c r="BK49">
        <f t="shared" si="23"/>
        <v>0.21157524193882546</v>
      </c>
    </row>
    <row r="50" spans="1:63" ht="15">
      <c r="A50" s="115" t="s">
        <v>70</v>
      </c>
      <c r="B50" s="133">
        <v>0.6</v>
      </c>
      <c r="C50" s="118">
        <f t="shared" si="25"/>
        <v>0.21395620404199231</v>
      </c>
      <c r="D50" s="30"/>
      <c r="E50" s="2"/>
      <c r="F50" s="15">
        <f t="shared" si="1"/>
        <v>0.36</v>
      </c>
      <c r="G50" s="16">
        <f t="shared" si="2"/>
        <v>0.12837372242519537</v>
      </c>
      <c r="H50" s="2"/>
      <c r="K50" s="2"/>
      <c r="L50" s="17">
        <f t="shared" si="3"/>
        <v>6.8750667613944591E-2</v>
      </c>
      <c r="M50" s="2"/>
      <c r="N50" s="18">
        <f t="shared" si="4"/>
        <v>3.7346130224326216E-3</v>
      </c>
      <c r="O50" s="19">
        <f t="shared" si="26"/>
        <v>-7.7776470588235309</v>
      </c>
      <c r="P50" s="19">
        <f t="shared" si="6"/>
        <v>60.49179377162632</v>
      </c>
      <c r="Q50" s="20">
        <f t="shared" si="7"/>
        <v>0.27506768432542694</v>
      </c>
      <c r="R50" s="144">
        <f t="shared" si="27"/>
        <v>-6.1111480283434633E-2</v>
      </c>
      <c r="S50" s="21">
        <f t="shared" si="9"/>
        <v>3.7346130224326199E-3</v>
      </c>
      <c r="T50" s="22">
        <f t="shared" si="10"/>
        <v>4.7713905560058917E-2</v>
      </c>
      <c r="U50" s="23">
        <f t="shared" si="11"/>
        <v>2.2766167837942213E-3</v>
      </c>
      <c r="V50" s="24">
        <f t="shared" si="12"/>
        <v>1.8458297534633987E-3</v>
      </c>
      <c r="W50" s="25">
        <f t="shared" si="13"/>
        <v>4.2963120853394703E-2</v>
      </c>
      <c r="X50" s="25">
        <f t="shared" si="14"/>
        <v>-1.4224171584733922</v>
      </c>
      <c r="Y50" s="26">
        <f t="shared" si="28"/>
        <v>2.3039689276116835E-34</v>
      </c>
      <c r="Z50" s="15">
        <f t="shared" si="15"/>
        <v>60.49179377162632</v>
      </c>
      <c r="AA50" s="149">
        <f t="shared" si="17"/>
        <v>-1.3985148255713686</v>
      </c>
      <c r="AD50" s="2"/>
      <c r="AF50" s="2"/>
      <c r="AG50" s="2"/>
      <c r="AI50" s="122">
        <f t="shared" si="18"/>
        <v>1.1263084061724398E-2</v>
      </c>
      <c r="AJ50" s="123">
        <v>5845</v>
      </c>
      <c r="AK50" s="126">
        <v>518952</v>
      </c>
      <c r="AL50" s="131">
        <v>111033</v>
      </c>
      <c r="AM50">
        <f t="shared" si="19"/>
        <v>0.21395620404199231</v>
      </c>
      <c r="AQ50" s="163">
        <v>-6.1111480283434633E-2</v>
      </c>
      <c r="AR50" s="164">
        <f t="shared" si="20"/>
        <v>0</v>
      </c>
      <c r="AV50" s="145"/>
      <c r="AZ50" s="145">
        <v>-6.1111480283434633E-2</v>
      </c>
      <c r="BC50">
        <f t="shared" si="21"/>
        <v>2.6886145429166952E-2</v>
      </c>
      <c r="BD50" s="133">
        <v>0.6</v>
      </c>
      <c r="BG50" s="122">
        <f t="shared" si="22"/>
        <v>1.1263084061724398E-2</v>
      </c>
      <c r="BH50" s="123">
        <v>5845</v>
      </c>
      <c r="BI50" s="126">
        <v>518952</v>
      </c>
      <c r="BJ50" s="131">
        <v>111033</v>
      </c>
      <c r="BK50">
        <f t="shared" si="23"/>
        <v>0.21395620404199231</v>
      </c>
    </row>
    <row r="51" spans="1:63" thickBot="1">
      <c r="A51" s="115" t="s">
        <v>56</v>
      </c>
      <c r="B51" s="133">
        <v>5.8</v>
      </c>
      <c r="C51" s="118">
        <f t="shared" si="25"/>
        <v>0.28012944248892924</v>
      </c>
      <c r="D51" s="30"/>
      <c r="E51" s="2">
        <f>92-53</f>
        <v>39</v>
      </c>
      <c r="F51" s="15">
        <f t="shared" si="1"/>
        <v>33.64</v>
      </c>
      <c r="G51" s="16">
        <f t="shared" si="2"/>
        <v>1.6247507664357894</v>
      </c>
      <c r="H51" s="2"/>
      <c r="K51" s="2"/>
      <c r="L51" s="17">
        <f t="shared" si="3"/>
        <v>0.66458978693479775</v>
      </c>
      <c r="M51" s="2"/>
      <c r="N51" s="18">
        <f t="shared" si="4"/>
        <v>1.7949500846843635E-4</v>
      </c>
      <c r="O51" s="19">
        <f t="shared" si="26"/>
        <v>-2.5776470588235307</v>
      </c>
      <c r="P51" s="19">
        <f t="shared" si="6"/>
        <v>6.6442643598615989</v>
      </c>
      <c r="Q51" s="20">
        <f t="shared" si="7"/>
        <v>0.29352701721230495</v>
      </c>
      <c r="R51" s="144">
        <f t="shared" si="27"/>
        <v>-1.3397574723375716E-2</v>
      </c>
      <c r="S51" s="21">
        <f t="shared" si="9"/>
        <v>1.7949500846843589E-4</v>
      </c>
      <c r="T51" s="22">
        <f t="shared" si="10"/>
        <v>0.11302255423803298</v>
      </c>
      <c r="U51" s="23">
        <f t="shared" si="11"/>
        <v>1.2774097766489106E-2</v>
      </c>
      <c r="V51" s="24">
        <f t="shared" si="12"/>
        <v>1.9410918532479827E-3</v>
      </c>
      <c r="W51" s="25">
        <f t="shared" si="13"/>
        <v>4.405782397313765E-2</v>
      </c>
      <c r="X51" s="25">
        <f t="shared" si="14"/>
        <v>-0.30409070433311247</v>
      </c>
      <c r="Y51" s="26">
        <f t="shared" si="28"/>
        <v>3.009265538105056E-34</v>
      </c>
      <c r="Z51" s="15">
        <f t="shared" si="15"/>
        <v>6.6442643598615989</v>
      </c>
      <c r="AA51" s="149">
        <f t="shared" si="17"/>
        <v>-0.3249349463456066</v>
      </c>
      <c r="AD51" s="2"/>
      <c r="AF51" s="2"/>
      <c r="AG51" s="2"/>
      <c r="AI51" s="122">
        <f t="shared" si="18"/>
        <v>2.0430717989478066E-2</v>
      </c>
      <c r="AJ51" s="123">
        <v>5398</v>
      </c>
      <c r="AK51" s="126">
        <v>264210</v>
      </c>
      <c r="AL51" s="125">
        <v>74013</v>
      </c>
      <c r="AM51">
        <f t="shared" si="19"/>
        <v>0.28012944248892924</v>
      </c>
      <c r="AQ51" s="163">
        <v>-1.3397574723375716E-2</v>
      </c>
      <c r="AR51" s="164">
        <f t="shared" si="20"/>
        <v>0</v>
      </c>
      <c r="AV51" s="145"/>
      <c r="AZ51" s="145">
        <v>-1.3397574723375716E-2</v>
      </c>
      <c r="BC51">
        <f t="shared" si="21"/>
        <v>-7.3114251376720008E-2</v>
      </c>
      <c r="BD51" s="133">
        <v>5.8</v>
      </c>
      <c r="BG51" s="122">
        <f t="shared" si="22"/>
        <v>2.0430717989478066E-2</v>
      </c>
      <c r="BH51" s="123">
        <v>5398</v>
      </c>
      <c r="BI51" s="126">
        <v>264210</v>
      </c>
      <c r="BJ51" s="125">
        <v>74013</v>
      </c>
      <c r="BK51">
        <f t="shared" si="23"/>
        <v>0.28012944248892924</v>
      </c>
    </row>
    <row r="52" spans="1:63" thickBot="1">
      <c r="A52" s="115" t="s">
        <v>84</v>
      </c>
      <c r="B52" s="133">
        <v>15.3</v>
      </c>
      <c r="C52" s="118">
        <f t="shared" si="25"/>
        <v>0.42687577796260473</v>
      </c>
      <c r="D52" s="30"/>
      <c r="E52" s="2"/>
      <c r="F52" s="15">
        <f t="shared" si="1"/>
        <v>234.09000000000003</v>
      </c>
      <c r="G52" s="16">
        <f t="shared" si="2"/>
        <v>6.5311994028278528</v>
      </c>
      <c r="H52" s="2"/>
      <c r="K52" s="2"/>
      <c r="L52" s="17">
        <f t="shared" si="3"/>
        <v>1.7531420241555873</v>
      </c>
      <c r="M52" s="2"/>
      <c r="N52" s="18">
        <f t="shared" si="4"/>
        <v>9.9251365432958746E-3</v>
      </c>
      <c r="O52" s="19">
        <f t="shared" si="26"/>
        <v>6.9223529411764702</v>
      </c>
      <c r="P52" s="19">
        <f t="shared" si="6"/>
        <v>47.918970242214527</v>
      </c>
      <c r="Q52" s="20">
        <f t="shared" si="7"/>
        <v>0.32725079844794747</v>
      </c>
      <c r="R52" s="144">
        <f t="shared" si="27"/>
        <v>9.9624979514657264E-2</v>
      </c>
      <c r="S52" s="21">
        <f t="shared" si="9"/>
        <v>9.9251365432958798E-3</v>
      </c>
      <c r="T52" s="22">
        <f t="shared" si="10"/>
        <v>-4.3762956024347544E-2</v>
      </c>
      <c r="U52" s="23">
        <f t="shared" si="11"/>
        <v>1.915196319988977E-3</v>
      </c>
      <c r="V52" s="24">
        <f t="shared" si="12"/>
        <v>1.8680724372544047E-3</v>
      </c>
      <c r="W52" s="25">
        <f t="shared" si="13"/>
        <v>4.3221203560919089E-2</v>
      </c>
      <c r="X52" s="25">
        <f t="shared" si="14"/>
        <v>2.3050024364601187</v>
      </c>
      <c r="Y52" s="26">
        <f t="shared" si="28"/>
        <v>7.7037197775489434E-34</v>
      </c>
      <c r="Z52" s="15">
        <f t="shared" si="15"/>
        <v>47.918970242214527</v>
      </c>
      <c r="AA52" s="149">
        <f t="shared" si="17"/>
        <v>2.2181128026155825</v>
      </c>
      <c r="AD52" s="2"/>
      <c r="AF52" s="2"/>
      <c r="AG52" s="2"/>
      <c r="AI52" s="122">
        <f t="shared" si="18"/>
        <v>2.1581179983365572E-2</v>
      </c>
      <c r="AJ52" s="123">
        <v>11391</v>
      </c>
      <c r="AK52" s="126">
        <v>527821</v>
      </c>
      <c r="AL52" s="125">
        <v>225314</v>
      </c>
      <c r="AM52">
        <f t="shared" si="19"/>
        <v>0.42687577796260473</v>
      </c>
      <c r="AQ52" s="163">
        <v>9.9624979514657264E-2</v>
      </c>
      <c r="AR52" s="164">
        <f t="shared" si="20"/>
        <v>0</v>
      </c>
      <c r="AV52" s="145"/>
      <c r="AZ52" s="145">
        <v>9.9624979514657264E-2</v>
      </c>
      <c r="BC52">
        <f t="shared" si="21"/>
        <v>-0.25580728400285963</v>
      </c>
      <c r="BD52" s="133">
        <v>15.3</v>
      </c>
      <c r="BG52" s="122">
        <f t="shared" si="22"/>
        <v>2.1581179983365572E-2</v>
      </c>
      <c r="BH52" s="123">
        <v>11391</v>
      </c>
      <c r="BI52" s="126">
        <v>527821</v>
      </c>
      <c r="BJ52" s="125">
        <v>225314</v>
      </c>
      <c r="BK52">
        <f t="shared" si="23"/>
        <v>0.42687577796260473</v>
      </c>
    </row>
    <row r="53" spans="1:63" thickBot="1">
      <c r="A53" s="115" t="s">
        <v>40</v>
      </c>
      <c r="B53" s="133">
        <v>16</v>
      </c>
      <c r="C53" s="118">
        <f t="shared" si="25"/>
        <v>0.38559773213456772</v>
      </c>
      <c r="D53" s="30"/>
      <c r="E53" s="2"/>
      <c r="F53" s="15">
        <f t="shared" si="1"/>
        <v>256</v>
      </c>
      <c r="G53" s="16">
        <f t="shared" si="2"/>
        <v>6.1695637141530835</v>
      </c>
      <c r="H53" s="2"/>
      <c r="K53" s="2"/>
      <c r="L53" s="17">
        <f t="shared" si="3"/>
        <v>1.833351136371856</v>
      </c>
      <c r="M53" s="2"/>
      <c r="N53" s="18">
        <f t="shared" si="4"/>
        <v>3.1205656684319149E-3</v>
      </c>
      <c r="O53" s="19">
        <f t="shared" si="26"/>
        <v>7.6223529411764694</v>
      </c>
      <c r="P53" s="19">
        <f t="shared" si="6"/>
        <v>58.100264359861576</v>
      </c>
      <c r="Q53" s="20">
        <f t="shared" si="7"/>
        <v>0.329735708644258</v>
      </c>
      <c r="R53" s="144">
        <f t="shared" si="27"/>
        <v>5.586202349030972E-2</v>
      </c>
      <c r="S53" s="21">
        <f t="shared" si="9"/>
        <v>3.1205656684319149E-3</v>
      </c>
      <c r="T53" s="22">
        <f t="shared" si="10"/>
        <v>-6.5483019092038797E-2</v>
      </c>
      <c r="U53" s="23">
        <f t="shared" si="11"/>
        <v>4.2880257894083174E-3</v>
      </c>
      <c r="V53" s="24">
        <f t="shared" si="12"/>
        <v>1.8500606274877045E-3</v>
      </c>
      <c r="W53" s="25">
        <f t="shared" si="13"/>
        <v>4.3012331109667894E-2</v>
      </c>
      <c r="X53" s="25">
        <f t="shared" si="14"/>
        <v>1.2987443844389452</v>
      </c>
      <c r="Y53" s="26">
        <f t="shared" si="28"/>
        <v>0</v>
      </c>
      <c r="Z53" s="15">
        <f t="shared" si="15"/>
        <v>58.100264359861576</v>
      </c>
      <c r="AA53" s="149">
        <f t="shared" si="17"/>
        <v>1.2334306959697028</v>
      </c>
      <c r="AD53" s="2"/>
      <c r="AF53" s="2"/>
      <c r="AG53" s="2"/>
      <c r="AI53" s="122">
        <f t="shared" si="18"/>
        <v>2.6120950068115857E-2</v>
      </c>
      <c r="AJ53" s="123">
        <v>18963</v>
      </c>
      <c r="AK53" s="126">
        <v>725969</v>
      </c>
      <c r="AL53" s="125">
        <v>279932</v>
      </c>
      <c r="AM53">
        <f t="shared" si="19"/>
        <v>0.38559773213456772</v>
      </c>
      <c r="AQ53" s="163">
        <v>5.586202349030972E-2</v>
      </c>
      <c r="AR53" s="164">
        <f t="shared" si="20"/>
        <v>0</v>
      </c>
      <c r="AV53" s="145"/>
      <c r="AZ53" s="145">
        <v>5.586202349030972E-2</v>
      </c>
      <c r="BC53">
        <f t="shared" si="21"/>
        <v>-0.26926887588057519</v>
      </c>
      <c r="BD53" s="133">
        <v>16</v>
      </c>
      <c r="BG53" s="122">
        <f t="shared" si="22"/>
        <v>2.6120950068115857E-2</v>
      </c>
      <c r="BH53" s="123">
        <v>18963</v>
      </c>
      <c r="BI53" s="126">
        <v>725969</v>
      </c>
      <c r="BJ53" s="125">
        <v>279932</v>
      </c>
      <c r="BK53">
        <f t="shared" si="23"/>
        <v>0.38559773213456772</v>
      </c>
    </row>
    <row r="54" spans="1:63" thickBot="1">
      <c r="A54" s="115" t="s">
        <v>26</v>
      </c>
      <c r="B54" s="133">
        <v>7.7</v>
      </c>
      <c r="C54" s="118">
        <f t="shared" si="25"/>
        <v>0.29065077785770438</v>
      </c>
      <c r="D54" s="30"/>
      <c r="E54" s="2"/>
      <c r="F54" s="15">
        <f t="shared" si="1"/>
        <v>59.290000000000006</v>
      </c>
      <c r="G54" s="16">
        <f t="shared" si="2"/>
        <v>2.2380109895043239</v>
      </c>
      <c r="H54" s="2"/>
      <c r="K54" s="2"/>
      <c r="L54" s="17">
        <f t="shared" si="3"/>
        <v>0.88230023437895566</v>
      </c>
      <c r="M54" s="2"/>
      <c r="N54" s="18">
        <f t="shared" si="4"/>
        <v>9.2563556368490641E-5</v>
      </c>
      <c r="O54" s="19">
        <f t="shared" si="26"/>
        <v>-0.67764705882353038</v>
      </c>
      <c r="P54" s="19">
        <f t="shared" si="6"/>
        <v>0.45920553633218125</v>
      </c>
      <c r="Q54" s="20">
        <f t="shared" si="7"/>
        <v>0.30027177345943346</v>
      </c>
      <c r="R54" s="144">
        <f t="shared" si="27"/>
        <v>-9.6209956017290765E-3</v>
      </c>
      <c r="S54" s="21">
        <f t="shared" si="9"/>
        <v>9.2563556368490234E-5</v>
      </c>
      <c r="T54" s="22">
        <f t="shared" si="10"/>
        <v>6.0470883140722465E-3</v>
      </c>
      <c r="U54" s="23">
        <f t="shared" si="11"/>
        <v>3.6567277078189125E-5</v>
      </c>
      <c r="V54" s="24">
        <f t="shared" si="12"/>
        <v>1.9520338908355392E-3</v>
      </c>
      <c r="W54" s="25">
        <f t="shared" si="13"/>
        <v>4.418182760859423E-2</v>
      </c>
      <c r="X54" s="25">
        <f t="shared" si="14"/>
        <v>-0.21775911324812658</v>
      </c>
      <c r="Y54" s="26">
        <f t="shared" si="28"/>
        <v>4.3333423748712807E-34</v>
      </c>
      <c r="Z54" s="15">
        <f t="shared" si="15"/>
        <v>0.45920553633218125</v>
      </c>
      <c r="AA54" s="149">
        <f t="shared" si="17"/>
        <v>-0.23996057022373443</v>
      </c>
      <c r="AD54" s="2"/>
      <c r="AF54" s="2"/>
      <c r="AG54" s="2"/>
      <c r="AI54" s="122">
        <f t="shared" si="18"/>
        <v>1.9145499742645563E-2</v>
      </c>
      <c r="AJ54" s="123">
        <v>36676</v>
      </c>
      <c r="AK54" s="126">
        <v>1915646</v>
      </c>
      <c r="AL54" s="125">
        <v>556784</v>
      </c>
      <c r="AM54">
        <f t="shared" si="19"/>
        <v>0.29065077785770438</v>
      </c>
      <c r="AQ54" s="163">
        <v>-9.6209956017290765E-3</v>
      </c>
      <c r="AR54" s="164">
        <f t="shared" si="20"/>
        <v>0</v>
      </c>
      <c r="AV54" s="145"/>
      <c r="AZ54" s="145">
        <v>-9.6209956017290765E-3</v>
      </c>
      <c r="BC54">
        <f t="shared" si="21"/>
        <v>-0.10965285790194793</v>
      </c>
      <c r="BD54" s="133">
        <v>7.7</v>
      </c>
      <c r="BG54" s="122">
        <f t="shared" si="22"/>
        <v>1.9145499742645563E-2</v>
      </c>
      <c r="BH54" s="123">
        <v>36676</v>
      </c>
      <c r="BI54" s="126">
        <v>1915646</v>
      </c>
      <c r="BJ54" s="125">
        <v>556784</v>
      </c>
      <c r="BK54">
        <f t="shared" si="23"/>
        <v>0.29065077785770438</v>
      </c>
    </row>
    <row r="55" spans="1:63" thickBot="1">
      <c r="A55" s="115" t="s">
        <v>60</v>
      </c>
      <c r="B55" s="133">
        <v>10</v>
      </c>
      <c r="C55" s="118">
        <f t="shared" si="25"/>
        <v>0.30486257110251114</v>
      </c>
      <c r="D55" s="30"/>
      <c r="E55" s="2"/>
      <c r="F55" s="15">
        <f t="shared" si="1"/>
        <v>100</v>
      </c>
      <c r="G55" s="16">
        <f t="shared" si="2"/>
        <v>3.0486257110251112</v>
      </c>
      <c r="H55" s="2"/>
      <c r="K55" s="2"/>
      <c r="L55" s="17">
        <f t="shared" si="3"/>
        <v>1.14584446023241</v>
      </c>
      <c r="M55" s="2"/>
      <c r="N55" s="18">
        <f t="shared" si="4"/>
        <v>1.27728133007667E-5</v>
      </c>
      <c r="O55" s="19">
        <f t="shared" si="26"/>
        <v>1.6223529411764694</v>
      </c>
      <c r="P55" s="19">
        <f t="shared" si="6"/>
        <v>2.6320290657439411</v>
      </c>
      <c r="Q55" s="20">
        <f t="shared" si="7"/>
        <v>0.30843647839016797</v>
      </c>
      <c r="R55" s="144">
        <f t="shared" si="27"/>
        <v>-3.5739072876568301E-3</v>
      </c>
      <c r="S55" s="21">
        <f t="shared" si="9"/>
        <v>1.27728133007666E-5</v>
      </c>
      <c r="T55" s="22">
        <f t="shared" si="10"/>
        <v>1.7289033539341192E-2</v>
      </c>
      <c r="U55" s="23">
        <f t="shared" si="11"/>
        <v>2.9891068072446464E-4</v>
      </c>
      <c r="V55" s="24">
        <f t="shared" si="12"/>
        <v>1.9481899311565296E-3</v>
      </c>
      <c r="W55" s="25">
        <f t="shared" si="13"/>
        <v>4.4138304579543264E-2</v>
      </c>
      <c r="X55" s="25">
        <f t="shared" si="14"/>
        <v>-8.0970651720800924E-2</v>
      </c>
      <c r="Y55" s="26">
        <f t="shared" si="28"/>
        <v>1.9259299443872359E-34</v>
      </c>
      <c r="Z55" s="15">
        <f t="shared" si="15"/>
        <v>2.6320290657439411</v>
      </c>
      <c r="AA55" s="149">
        <f t="shared" si="17"/>
        <v>-0.10389892811570188</v>
      </c>
      <c r="AD55" s="2"/>
      <c r="AF55" s="2"/>
      <c r="AG55" s="2"/>
      <c r="AI55" s="122">
        <f t="shared" si="18"/>
        <v>1.9785952241728452E-2</v>
      </c>
      <c r="AJ55" s="123">
        <v>13298</v>
      </c>
      <c r="AK55" s="126">
        <v>672093</v>
      </c>
      <c r="AL55" s="125">
        <v>204896</v>
      </c>
      <c r="AM55">
        <f t="shared" si="19"/>
        <v>0.30486257110251114</v>
      </c>
      <c r="AQ55" s="163">
        <v>-3.5739072876568301E-3</v>
      </c>
      <c r="AR55" s="164">
        <f t="shared" si="20"/>
        <v>0</v>
      </c>
      <c r="AV55" s="145"/>
      <c r="AZ55" s="145">
        <v>-3.5739072876568301E-3</v>
      </c>
      <c r="BC55">
        <f t="shared" si="21"/>
        <v>-0.1538838026430133</v>
      </c>
      <c r="BD55" s="133">
        <v>10</v>
      </c>
      <c r="BG55" s="122">
        <f t="shared" si="22"/>
        <v>1.9785952241728452E-2</v>
      </c>
      <c r="BH55" s="123">
        <v>13298</v>
      </c>
      <c r="BI55" s="126">
        <v>672093</v>
      </c>
      <c r="BJ55" s="125">
        <v>204896</v>
      </c>
      <c r="BK55">
        <f t="shared" si="23"/>
        <v>0.30486257110251114</v>
      </c>
    </row>
    <row r="56" spans="1:63" ht="18">
      <c r="A56" s="115" t="s">
        <v>79</v>
      </c>
      <c r="B56" s="133">
        <v>7.3</v>
      </c>
      <c r="C56" s="118">
        <f t="shared" si="25"/>
        <v>0.31256695102751186</v>
      </c>
      <c r="D56" s="30"/>
      <c r="E56" s="2"/>
      <c r="F56" s="15">
        <f t="shared" si="1"/>
        <v>53.29</v>
      </c>
      <c r="G56" s="16">
        <f t="shared" si="2"/>
        <v>2.2817387425008366</v>
      </c>
      <c r="H56" s="2"/>
      <c r="K56" s="2"/>
      <c r="L56" s="17">
        <f t="shared" si="3"/>
        <v>0.83646645596965929</v>
      </c>
      <c r="M56" s="2"/>
      <c r="N56" s="18">
        <f t="shared" si="4"/>
        <v>1.8810468809964229E-4</v>
      </c>
      <c r="O56" s="19">
        <f t="shared" si="26"/>
        <v>-1.0776470588235307</v>
      </c>
      <c r="P56" s="19">
        <f t="shared" si="6"/>
        <v>1.1613231833910063</v>
      </c>
      <c r="Q56" s="20">
        <f t="shared" si="7"/>
        <v>0.2988518247758275</v>
      </c>
      <c r="R56" s="144">
        <f t="shared" si="27"/>
        <v>1.3715126251684362E-2</v>
      </c>
      <c r="S56" s="21">
        <f t="shared" si="9"/>
        <v>1.8810468809964153E-4</v>
      </c>
      <c r="T56" s="22">
        <f t="shared" si="10"/>
        <v>-4.7046072706068365E-2</v>
      </c>
      <c r="U56" s="23">
        <f t="shared" si="11"/>
        <v>2.2133329570646707E-3</v>
      </c>
      <c r="V56" s="24">
        <f t="shared" si="12"/>
        <v>1.9507917688276163E-3</v>
      </c>
      <c r="W56" s="25">
        <f t="shared" si="13"/>
        <v>4.4167768438394261E-2</v>
      </c>
      <c r="X56" s="25">
        <f t="shared" si="14"/>
        <v>0.31052341416828394</v>
      </c>
      <c r="Y56" s="26">
        <f t="shared" si="28"/>
        <v>7.7037197775489434E-34</v>
      </c>
      <c r="Z56" s="15">
        <f t="shared" si="15"/>
        <v>1.1613231833910063</v>
      </c>
      <c r="AA56" s="149">
        <f t="shared" si="17"/>
        <v>0.28511048792827676</v>
      </c>
      <c r="AD56" s="2"/>
      <c r="AF56" s="2"/>
      <c r="AG56" s="2"/>
      <c r="AI56" s="122">
        <f t="shared" si="18"/>
        <v>1.9124974386773977E-2</v>
      </c>
      <c r="AJ56" s="123">
        <v>14747</v>
      </c>
      <c r="AK56" s="126">
        <v>771086</v>
      </c>
      <c r="AL56" s="127">
        <v>241016</v>
      </c>
      <c r="AM56">
        <f t="shared" si="19"/>
        <v>0.31256695102751186</v>
      </c>
      <c r="AQ56" s="163">
        <v>1.3715126251684362E-2</v>
      </c>
      <c r="AR56" s="164">
        <f t="shared" si="20"/>
        <v>0</v>
      </c>
      <c r="AV56" s="145"/>
      <c r="AZ56" s="145">
        <v>1.3715126251684362E-2</v>
      </c>
      <c r="BC56">
        <f t="shared" si="21"/>
        <v>-0.10196051968611045</v>
      </c>
      <c r="BD56" s="133">
        <v>7.3</v>
      </c>
      <c r="BG56" s="122">
        <f t="shared" si="22"/>
        <v>1.9124974386773977E-2</v>
      </c>
      <c r="BH56" s="123">
        <v>14747</v>
      </c>
      <c r="BI56" s="126">
        <v>771086</v>
      </c>
      <c r="BJ56" s="127">
        <v>241016</v>
      </c>
      <c r="BK56">
        <f t="shared" si="23"/>
        <v>0.31256695102751186</v>
      </c>
    </row>
    <row r="57" spans="1:63" thickBot="1">
      <c r="A57" s="115" t="s">
        <v>54</v>
      </c>
      <c r="B57" s="133">
        <v>9.6999999999999993</v>
      </c>
      <c r="C57" s="118">
        <f t="shared" si="25"/>
        <v>0.2740405704230795</v>
      </c>
      <c r="D57" s="30"/>
      <c r="E57" s="2"/>
      <c r="F57" s="15">
        <f t="shared" si="1"/>
        <v>94.089999999999989</v>
      </c>
      <c r="G57" s="16">
        <f t="shared" si="2"/>
        <v>2.6581935331038711</v>
      </c>
      <c r="H57" s="2"/>
      <c r="K57" s="2"/>
      <c r="L57" s="17">
        <f t="shared" si="3"/>
        <v>1.1114691264254377</v>
      </c>
      <c r="M57" s="2"/>
      <c r="N57" s="18">
        <f t="shared" si="4"/>
        <v>1.1109519915450121E-3</v>
      </c>
      <c r="O57" s="19">
        <f t="shared" si="26"/>
        <v>1.3223529411764687</v>
      </c>
      <c r="P57" s="19">
        <f t="shared" si="6"/>
        <v>1.7486173010380575</v>
      </c>
      <c r="Q57" s="20">
        <f t="shared" si="7"/>
        <v>0.3073715168774635</v>
      </c>
      <c r="R57" s="144">
        <f t="shared" si="27"/>
        <v>-3.3330946454384003E-2</v>
      </c>
      <c r="S57" s="21">
        <f t="shared" si="9"/>
        <v>1.1109519915450136E-3</v>
      </c>
      <c r="T57" s="22">
        <f t="shared" si="10"/>
        <v>3.7627010175608933E-2</v>
      </c>
      <c r="U57" s="23">
        <f t="shared" si="11"/>
        <v>1.4157918947553781E-3</v>
      </c>
      <c r="V57" s="24">
        <f t="shared" si="12"/>
        <v>1.9497527820542329E-3</v>
      </c>
      <c r="W57" s="25">
        <f t="shared" si="13"/>
        <v>4.415600505089011E-2</v>
      </c>
      <c r="X57" s="25">
        <f t="shared" si="14"/>
        <v>-0.75484515449189415</v>
      </c>
      <c r="Y57" s="26">
        <f t="shared" si="28"/>
        <v>4.3333423748712807E-34</v>
      </c>
      <c r="Z57" s="15">
        <f t="shared" si="15"/>
        <v>1.7486173010380575</v>
      </c>
      <c r="AA57" s="149">
        <f t="shared" si="17"/>
        <v>-0.77344291408262589</v>
      </c>
      <c r="AD57" s="2"/>
      <c r="AF57" s="2"/>
      <c r="AG57" s="2"/>
      <c r="AI57" s="122">
        <f t="shared" si="18"/>
        <v>1.9878684216601772E-2</v>
      </c>
      <c r="AJ57" s="123">
        <v>19804</v>
      </c>
      <c r="AK57" s="126">
        <v>996243</v>
      </c>
      <c r="AL57" s="125">
        <v>273011</v>
      </c>
      <c r="AM57">
        <f t="shared" si="19"/>
        <v>0.2740405704230795</v>
      </c>
      <c r="AQ57" s="163">
        <v>-3.3330946454384003E-2</v>
      </c>
      <c r="AR57" s="164">
        <f t="shared" si="20"/>
        <v>0</v>
      </c>
      <c r="AV57" s="145"/>
      <c r="AZ57" s="145">
        <v>-3.3330946454384003E-2</v>
      </c>
      <c r="BC57">
        <f t="shared" si="21"/>
        <v>-0.14811454898113519</v>
      </c>
      <c r="BD57" s="133">
        <v>9.6999999999999993</v>
      </c>
      <c r="BG57" s="122">
        <f t="shared" si="22"/>
        <v>1.9878684216601772E-2</v>
      </c>
      <c r="BH57" s="123">
        <v>19804</v>
      </c>
      <c r="BI57" s="126">
        <v>996243</v>
      </c>
      <c r="BJ57" s="125">
        <v>273011</v>
      </c>
      <c r="BK57">
        <f t="shared" si="23"/>
        <v>0.2740405704230795</v>
      </c>
    </row>
    <row r="58" spans="1:63" thickBot="1">
      <c r="A58" s="115" t="s">
        <v>68</v>
      </c>
      <c r="B58" s="133">
        <v>1.2</v>
      </c>
      <c r="C58" s="118">
        <f t="shared" si="25"/>
        <v>0.28149367107206091</v>
      </c>
      <c r="D58" s="30"/>
      <c r="E58" s="2"/>
      <c r="F58" s="15">
        <f t="shared" si="1"/>
        <v>1.44</v>
      </c>
      <c r="G58" s="16">
        <f t="shared" si="2"/>
        <v>0.33779240528647309</v>
      </c>
      <c r="H58" s="2"/>
      <c r="K58" s="2"/>
      <c r="L58" s="17">
        <f t="shared" si="3"/>
        <v>0.13750133522788918</v>
      </c>
      <c r="M58" s="2"/>
      <c r="N58" s="18">
        <f t="shared" si="4"/>
        <v>1.8456163496825207E-5</v>
      </c>
      <c r="O58" s="19">
        <f t="shared" si="26"/>
        <v>-7.1776470588235304</v>
      </c>
      <c r="P58" s="19">
        <f t="shared" si="6"/>
        <v>51.518617301038077</v>
      </c>
      <c r="Q58" s="20">
        <f t="shared" si="7"/>
        <v>0.27719760735083598</v>
      </c>
      <c r="R58" s="144">
        <f t="shared" si="27"/>
        <v>4.2960637212249297E-3</v>
      </c>
      <c r="S58" s="21">
        <f t="shared" si="9"/>
        <v>1.845616349682499E-5</v>
      </c>
      <c r="T58" s="22">
        <f t="shared" si="10"/>
        <v>-3.5024549914606407E-2</v>
      </c>
      <c r="U58" s="23">
        <f t="shared" si="11"/>
        <v>1.2267190967207556E-3</v>
      </c>
      <c r="V58" s="24">
        <f t="shared" si="12"/>
        <v>1.8617042725298035E-3</v>
      </c>
      <c r="W58" s="25">
        <f t="shared" si="13"/>
        <v>4.3147471218251056E-2</v>
      </c>
      <c r="X58" s="25">
        <f t="shared" si="14"/>
        <v>9.9566987355859851E-2</v>
      </c>
      <c r="Y58" s="26">
        <f t="shared" si="28"/>
        <v>6.3269807938658803E-34</v>
      </c>
      <c r="Z58" s="15">
        <f t="shared" si="15"/>
        <v>51.518617301038077</v>
      </c>
      <c r="AA58" s="149">
        <f t="shared" si="17"/>
        <v>7.3178224258472702E-2</v>
      </c>
      <c r="AD58" s="2"/>
      <c r="AF58" s="2"/>
      <c r="AG58" s="2"/>
      <c r="AI58" s="122">
        <f t="shared" si="18"/>
        <v>2.2453552354155495E-2</v>
      </c>
      <c r="AJ58" s="123">
        <v>15282</v>
      </c>
      <c r="AK58" s="126">
        <v>680605</v>
      </c>
      <c r="AL58" s="125">
        <v>191586</v>
      </c>
      <c r="AM58">
        <f t="shared" si="19"/>
        <v>0.28149367107206091</v>
      </c>
      <c r="AQ58" s="163">
        <v>4.2960637212249297E-3</v>
      </c>
      <c r="AR58" s="164">
        <f t="shared" si="20"/>
        <v>0</v>
      </c>
      <c r="AV58" s="145"/>
      <c r="AZ58" s="145">
        <v>4.2960637212249297E-3</v>
      </c>
      <c r="BC58">
        <f t="shared" si="21"/>
        <v>1.5347638105410764E-2</v>
      </c>
      <c r="BD58" s="133">
        <v>1.2</v>
      </c>
      <c r="BG58" s="122">
        <f t="shared" si="22"/>
        <v>2.2453552354155495E-2</v>
      </c>
      <c r="BH58" s="123">
        <v>15282</v>
      </c>
      <c r="BI58" s="126">
        <v>680605</v>
      </c>
      <c r="BJ58" s="125">
        <v>191586</v>
      </c>
      <c r="BK58">
        <f t="shared" si="23"/>
        <v>0.28149367107206091</v>
      </c>
    </row>
    <row r="59" spans="1:63" thickBot="1">
      <c r="A59" s="115" t="s">
        <v>38</v>
      </c>
      <c r="B59" s="133">
        <v>10</v>
      </c>
      <c r="C59" s="118">
        <f t="shared" si="25"/>
        <v>0.27770799219678649</v>
      </c>
      <c r="D59" s="30"/>
      <c r="E59" s="2"/>
      <c r="F59" s="15">
        <f t="shared" si="1"/>
        <v>100</v>
      </c>
      <c r="G59" s="16">
        <f t="shared" si="2"/>
        <v>2.7770799219678648</v>
      </c>
      <c r="H59" s="2"/>
      <c r="K59" s="2"/>
      <c r="L59" s="17">
        <f t="shared" si="3"/>
        <v>1.14584446023241</v>
      </c>
      <c r="M59" s="2"/>
      <c r="N59" s="18">
        <f t="shared" si="4"/>
        <v>9.4423986373683687E-4</v>
      </c>
      <c r="O59" s="19">
        <f t="shared" si="26"/>
        <v>1.6223529411764694</v>
      </c>
      <c r="P59" s="19">
        <f t="shared" si="6"/>
        <v>2.6320290657439411</v>
      </c>
      <c r="Q59" s="20">
        <f t="shared" si="7"/>
        <v>0.30843647839016797</v>
      </c>
      <c r="R59" s="144">
        <f t="shared" si="27"/>
        <v>-3.0728486193381477E-2</v>
      </c>
      <c r="S59" s="21">
        <f t="shared" si="9"/>
        <v>9.44239863736836E-4</v>
      </c>
      <c r="T59" s="22">
        <f t="shared" si="10"/>
        <v>0.22107018273181839</v>
      </c>
      <c r="U59" s="23">
        <f t="shared" si="11"/>
        <v>4.8872025693079572E-2</v>
      </c>
      <c r="V59" s="24">
        <f t="shared" si="12"/>
        <v>1.9481899311565296E-3</v>
      </c>
      <c r="W59" s="25">
        <f t="shared" si="13"/>
        <v>4.4138304579543264E-2</v>
      </c>
      <c r="X59" s="25">
        <f t="shared" si="14"/>
        <v>-0.69618637340282385</v>
      </c>
      <c r="Y59" s="26">
        <f t="shared" si="28"/>
        <v>1.9259299443872359E-34</v>
      </c>
      <c r="Z59" s="15">
        <f t="shared" si="15"/>
        <v>2.6320290657439411</v>
      </c>
      <c r="AA59" s="149">
        <f t="shared" si="17"/>
        <v>-0.71488663075385694</v>
      </c>
      <c r="AD59" s="2"/>
      <c r="AF59" s="2"/>
      <c r="AG59" s="2"/>
      <c r="AI59" s="122">
        <f t="shared" si="18"/>
        <v>1.5671395455355289E-2</v>
      </c>
      <c r="AJ59" s="123">
        <v>62716</v>
      </c>
      <c r="AK59" s="126">
        <v>4001941</v>
      </c>
      <c r="AL59" s="125">
        <v>1111371</v>
      </c>
      <c r="AM59">
        <f t="shared" si="19"/>
        <v>0.27770799219678649</v>
      </c>
      <c r="AQ59" s="163">
        <v>-3.0728486193381477E-2</v>
      </c>
      <c r="AR59" s="164">
        <f t="shared" si="20"/>
        <v>0</v>
      </c>
      <c r="AV59" s="145"/>
      <c r="AZ59" s="145">
        <v>-3.0728486193381477E-2</v>
      </c>
      <c r="BC59">
        <f t="shared" si="21"/>
        <v>-0.1538838026430133</v>
      </c>
      <c r="BD59" s="133">
        <v>10</v>
      </c>
      <c r="BG59" s="122">
        <f t="shared" si="22"/>
        <v>1.5671395455355289E-2</v>
      </c>
      <c r="BH59" s="123">
        <v>62716</v>
      </c>
      <c r="BI59" s="126">
        <v>4001941</v>
      </c>
      <c r="BJ59" s="125">
        <v>1111371</v>
      </c>
      <c r="BK59">
        <f t="shared" si="23"/>
        <v>0.27770799219678649</v>
      </c>
    </row>
    <row r="60" spans="1:63" thickBot="1">
      <c r="A60" s="115" t="s">
        <v>69</v>
      </c>
      <c r="B60" s="133">
        <v>4</v>
      </c>
      <c r="C60" s="118">
        <f t="shared" si="25"/>
        <v>0.4774789446745149</v>
      </c>
      <c r="D60" s="30"/>
      <c r="E60" s="2"/>
      <c r="F60" s="15">
        <f t="shared" si="1"/>
        <v>16</v>
      </c>
      <c r="G60" s="16">
        <f t="shared" si="2"/>
        <v>1.9099157786980596</v>
      </c>
      <c r="H60" s="2"/>
      <c r="K60" s="2"/>
      <c r="L60" s="17">
        <f t="shared" si="3"/>
        <v>0.458337784092964</v>
      </c>
      <c r="M60" s="2"/>
      <c r="N60" s="18">
        <f t="shared" si="4"/>
        <v>3.6229961441130415E-2</v>
      </c>
      <c r="O60" s="19">
        <f t="shared" si="26"/>
        <v>-4.3776470588235306</v>
      </c>
      <c r="P60" s="19">
        <f t="shared" si="6"/>
        <v>19.163793771626306</v>
      </c>
      <c r="Q60" s="20">
        <f t="shared" si="7"/>
        <v>0.28713724813607799</v>
      </c>
      <c r="R60" s="144">
        <f t="shared" si="27"/>
        <v>0.19034169653843691</v>
      </c>
      <c r="S60" s="21">
        <f t="shared" si="9"/>
        <v>3.6229961441130408E-2</v>
      </c>
      <c r="T60" s="22">
        <f t="shared" si="10"/>
        <v>-0.12226104057732706</v>
      </c>
      <c r="U60" s="23">
        <f t="shared" si="11"/>
        <v>1.4947762043050815E-2</v>
      </c>
      <c r="V60" s="24">
        <f t="shared" si="12"/>
        <v>1.9189434525115324E-3</v>
      </c>
      <c r="W60" s="25">
        <f t="shared" si="13"/>
        <v>4.3805746797783651E-2</v>
      </c>
      <c r="X60" s="25">
        <f t="shared" si="14"/>
        <v>4.3451307294701165</v>
      </c>
      <c r="Y60" s="26">
        <f t="shared" si="28"/>
        <v>7.7037197775489434E-34</v>
      </c>
      <c r="Z60" s="15">
        <f t="shared" si="15"/>
        <v>19.163793771626306</v>
      </c>
      <c r="AA60" s="149">
        <f t="shared" si="17"/>
        <v>4.2592712649753075</v>
      </c>
      <c r="AD60" s="2"/>
      <c r="AF60" s="2"/>
      <c r="AG60" s="2"/>
      <c r="AI60" s="122">
        <f t="shared" si="18"/>
        <v>4.9724303196686984E-2</v>
      </c>
      <c r="AJ60" s="123">
        <v>8549</v>
      </c>
      <c r="AK60" s="132">
        <v>171928</v>
      </c>
      <c r="AL60" s="125">
        <v>82092</v>
      </c>
      <c r="AM60">
        <f t="shared" si="19"/>
        <v>0.4774789446745149</v>
      </c>
      <c r="AQ60" s="163">
        <v>0.19034169653843691</v>
      </c>
      <c r="AR60" s="164">
        <f t="shared" si="20"/>
        <v>1</v>
      </c>
      <c r="AV60" s="145"/>
      <c r="AZ60" s="145">
        <v>0.19034169653843691</v>
      </c>
      <c r="BC60">
        <f t="shared" si="21"/>
        <v>-3.8498729405451439E-2</v>
      </c>
      <c r="BD60" s="133">
        <v>4</v>
      </c>
      <c r="BG60" s="122">
        <f t="shared" si="22"/>
        <v>4.9724303196686984E-2</v>
      </c>
      <c r="BH60" s="123">
        <v>8549</v>
      </c>
      <c r="BI60" s="132">
        <v>171928</v>
      </c>
      <c r="BJ60" s="125">
        <v>82092</v>
      </c>
      <c r="BK60">
        <f t="shared" si="23"/>
        <v>0.4774789446745149</v>
      </c>
    </row>
    <row r="61" spans="1:63" thickBot="1">
      <c r="A61" s="115" t="s">
        <v>48</v>
      </c>
      <c r="B61" s="133">
        <v>5.5</v>
      </c>
      <c r="C61" s="118">
        <f t="shared" si="25"/>
        <v>0.36054271166071034</v>
      </c>
      <c r="D61" s="30"/>
      <c r="E61" s="2"/>
      <c r="F61" s="15">
        <f t="shared" si="1"/>
        <v>30.25</v>
      </c>
      <c r="G61" s="16">
        <f t="shared" si="2"/>
        <v>1.9829849141339069</v>
      </c>
      <c r="H61" s="2"/>
      <c r="K61" s="2"/>
      <c r="L61" s="17">
        <f t="shared" si="3"/>
        <v>0.63021445312782554</v>
      </c>
      <c r="M61" s="2"/>
      <c r="N61" s="18">
        <f t="shared" si="4"/>
        <v>4.634975716095004E-3</v>
      </c>
      <c r="O61" s="19">
        <f t="shared" si="26"/>
        <v>-2.8776470588235306</v>
      </c>
      <c r="P61" s="19">
        <f t="shared" si="6"/>
        <v>8.2808525951557161</v>
      </c>
      <c r="Q61" s="20">
        <f t="shared" si="7"/>
        <v>0.29246205569960049</v>
      </c>
      <c r="R61" s="144">
        <f t="shared" si="27"/>
        <v>6.8080655961109848E-2</v>
      </c>
      <c r="S61" s="21">
        <f t="shared" si="9"/>
        <v>4.6349757160950023E-3</v>
      </c>
      <c r="T61" s="22">
        <f t="shared" si="10"/>
        <v>-7.2937501616554545E-2</v>
      </c>
      <c r="U61" s="23">
        <f t="shared" si="11"/>
        <v>5.3198791420648968E-3</v>
      </c>
      <c r="V61" s="24">
        <f t="shared" si="12"/>
        <v>1.9381965517647024E-3</v>
      </c>
      <c r="W61" s="25">
        <f t="shared" si="13"/>
        <v>4.4024953739495311E-2</v>
      </c>
      <c r="X61" s="25">
        <f t="shared" si="14"/>
        <v>1.5464106189402733</v>
      </c>
      <c r="Y61" s="26">
        <f t="shared" si="28"/>
        <v>3.009265538105056E-34</v>
      </c>
      <c r="Z61" s="15">
        <f t="shared" si="15"/>
        <v>8.2808525951557161</v>
      </c>
      <c r="AA61" s="149">
        <f t="shared" si="17"/>
        <v>1.5083542809986825</v>
      </c>
      <c r="AD61" s="2"/>
      <c r="AF61" s="2"/>
      <c r="AG61" s="2"/>
      <c r="AI61" s="122">
        <f t="shared" si="18"/>
        <v>4.9860478242147489E-2</v>
      </c>
      <c r="AJ61" s="123">
        <v>20495</v>
      </c>
      <c r="AK61" s="132">
        <v>411047</v>
      </c>
      <c r="AL61" s="125">
        <v>148200</v>
      </c>
      <c r="AM61">
        <f t="shared" si="19"/>
        <v>0.36054271166071034</v>
      </c>
      <c r="AQ61" s="163">
        <v>6.8080655961109848E-2</v>
      </c>
      <c r="AR61" s="164">
        <f t="shared" si="20"/>
        <v>0</v>
      </c>
      <c r="AV61" s="145"/>
      <c r="AZ61" s="145">
        <v>6.8080655961109848E-2</v>
      </c>
      <c r="BC61">
        <f t="shared" si="21"/>
        <v>-6.7344997714841898E-2</v>
      </c>
      <c r="BD61" s="133">
        <v>5.5</v>
      </c>
      <c r="BG61" s="122">
        <f t="shared" si="22"/>
        <v>4.9860478242147489E-2</v>
      </c>
      <c r="BH61" s="123">
        <v>20495</v>
      </c>
      <c r="BI61" s="132">
        <v>411047</v>
      </c>
      <c r="BJ61" s="125">
        <v>148200</v>
      </c>
      <c r="BK61">
        <f t="shared" si="23"/>
        <v>0.36054271166071034</v>
      </c>
    </row>
    <row r="62" spans="1:63" thickBot="1">
      <c r="A62" s="115" t="s">
        <v>93</v>
      </c>
      <c r="B62" s="133">
        <v>10.199999999999999</v>
      </c>
      <c r="C62" s="118">
        <f t="shared" si="25"/>
        <v>0.3042896070765263</v>
      </c>
      <c r="D62" s="30"/>
      <c r="E62" s="2"/>
      <c r="F62" s="15">
        <f t="shared" si="1"/>
        <v>104.03999999999999</v>
      </c>
      <c r="G62" s="16">
        <f t="shared" si="2"/>
        <v>3.1037539921805681</v>
      </c>
      <c r="H62" s="2"/>
      <c r="K62" s="2"/>
      <c r="L62" s="17">
        <f t="shared" si="3"/>
        <v>1.1687613494370581</v>
      </c>
      <c r="M62" s="2"/>
      <c r="N62" s="18">
        <f t="shared" si="4"/>
        <v>2.3588949720811826E-5</v>
      </c>
      <c r="O62" s="19">
        <f t="shared" si="26"/>
        <v>1.8223529411764687</v>
      </c>
      <c r="P62" s="19">
        <f t="shared" si="6"/>
        <v>3.3209702422145262</v>
      </c>
      <c r="Q62" s="20">
        <f t="shared" si="7"/>
        <v>0.309146452731971</v>
      </c>
      <c r="R62" s="144">
        <f t="shared" si="27"/>
        <v>-4.856845655444697E-3</v>
      </c>
      <c r="S62" s="21">
        <f t="shared" si="9"/>
        <v>2.3588949720812029E-5</v>
      </c>
      <c r="T62" s="22">
        <f t="shared" si="10"/>
        <v>6.7878235772699802E-3</v>
      </c>
      <c r="U62" s="23">
        <f t="shared" si="11"/>
        <v>4.6074548916142229E-5</v>
      </c>
      <c r="V62" s="24">
        <f t="shared" si="12"/>
        <v>1.9469711197492915E-3</v>
      </c>
      <c r="W62" s="25">
        <f t="shared" si="13"/>
        <v>4.4124495688328172E-2</v>
      </c>
      <c r="X62" s="25">
        <f t="shared" si="14"/>
        <v>-0.11007141452110537</v>
      </c>
      <c r="Y62" s="26">
        <f t="shared" si="28"/>
        <v>4.3333423748712807E-34</v>
      </c>
      <c r="Z62" s="15">
        <f t="shared" si="15"/>
        <v>3.3209702422145262</v>
      </c>
      <c r="AA62" s="149">
        <f t="shared" si="17"/>
        <v>-0.13276549860027684</v>
      </c>
      <c r="AD62" s="2"/>
      <c r="AF62" s="2"/>
      <c r="AG62" s="2"/>
      <c r="AI62" s="122">
        <f t="shared" si="18"/>
        <v>2.1645353728293917E-2</v>
      </c>
      <c r="AJ62" s="123">
        <v>25395</v>
      </c>
      <c r="AK62" s="126">
        <v>1173231</v>
      </c>
      <c r="AL62" s="125">
        <v>357002</v>
      </c>
      <c r="AM62">
        <f t="shared" si="19"/>
        <v>0.3042896070765263</v>
      </c>
      <c r="AQ62" s="163">
        <v>-4.856845655444697E-3</v>
      </c>
      <c r="AR62" s="164">
        <f t="shared" si="20"/>
        <v>0</v>
      </c>
      <c r="AV62" s="145"/>
      <c r="AZ62" s="145">
        <v>-4.856845655444697E-3</v>
      </c>
      <c r="BC62">
        <f t="shared" si="21"/>
        <v>-0.15772997175093201</v>
      </c>
      <c r="BD62" s="133">
        <v>10.199999999999999</v>
      </c>
      <c r="BG62" s="122">
        <f t="shared" si="22"/>
        <v>2.1645353728293917E-2</v>
      </c>
      <c r="BH62" s="123">
        <v>25395</v>
      </c>
      <c r="BI62" s="126">
        <v>1173231</v>
      </c>
      <c r="BJ62" s="125">
        <v>357002</v>
      </c>
      <c r="BK62">
        <f t="shared" si="23"/>
        <v>0.3042896070765263</v>
      </c>
    </row>
    <row r="63" spans="1:63" thickBot="1">
      <c r="A63" s="115" t="s">
        <v>7</v>
      </c>
      <c r="B63" s="133">
        <v>4.5</v>
      </c>
      <c r="C63" s="118">
        <f t="shared" si="25"/>
        <v>0.29084316191241077</v>
      </c>
      <c r="D63" s="30"/>
      <c r="E63" s="2"/>
      <c r="F63" s="15">
        <f t="shared" si="1"/>
        <v>20.25</v>
      </c>
      <c r="G63" s="16">
        <f t="shared" si="2"/>
        <v>1.3087942286058485</v>
      </c>
      <c r="H63" s="2"/>
      <c r="K63" s="2"/>
      <c r="L63" s="17">
        <f t="shared" si="3"/>
        <v>0.51563000710458451</v>
      </c>
      <c r="M63" s="2"/>
      <c r="N63" s="18">
        <f t="shared" si="4"/>
        <v>3.7286757345767831E-6</v>
      </c>
      <c r="O63" s="19">
        <f t="shared" si="26"/>
        <v>-3.8776470588235306</v>
      </c>
      <c r="P63" s="19">
        <f t="shared" si="6"/>
        <v>15.036146712802777</v>
      </c>
      <c r="Q63" s="20">
        <f t="shared" si="7"/>
        <v>0.28891218399058549</v>
      </c>
      <c r="R63" s="144">
        <f t="shared" si="27"/>
        <v>1.9309779218252832E-3</v>
      </c>
      <c r="S63" s="21">
        <f t="shared" si="9"/>
        <v>3.7286757345766895E-6</v>
      </c>
      <c r="T63" s="22">
        <f t="shared" si="10"/>
        <v>2.9721678346297076E-2</v>
      </c>
      <c r="U63" s="23">
        <f t="shared" si="11"/>
        <v>8.8337816372074452E-4</v>
      </c>
      <c r="V63" s="24">
        <f t="shared" si="12"/>
        <v>1.926245706306435E-3</v>
      </c>
      <c r="W63" s="25">
        <f t="shared" si="13"/>
        <v>4.3889015781929254E-2</v>
      </c>
      <c r="X63" s="25">
        <f t="shared" si="14"/>
        <v>4.3996838102264735E-2</v>
      </c>
      <c r="Y63" s="26">
        <f t="shared" si="28"/>
        <v>5.8981604546859098E-34</v>
      </c>
      <c r="Z63" s="15">
        <f t="shared" si="15"/>
        <v>15.036146712802777</v>
      </c>
      <c r="AA63" s="149">
        <f t="shared" si="17"/>
        <v>1.9962950910496907E-2</v>
      </c>
      <c r="AD63" s="2"/>
      <c r="AF63" s="2"/>
      <c r="AG63" s="2"/>
      <c r="AI63" s="122">
        <f t="shared" si="18"/>
        <v>1.9330125935824512E-2</v>
      </c>
      <c r="AJ63" s="123">
        <v>80485</v>
      </c>
      <c r="AK63" s="124">
        <v>4163708</v>
      </c>
      <c r="AL63" s="125">
        <v>1210986</v>
      </c>
      <c r="AM63">
        <f t="shared" si="19"/>
        <v>0.29084316191241077</v>
      </c>
      <c r="AQ63" s="163">
        <v>1.9309779218252832E-3</v>
      </c>
      <c r="AR63" s="164">
        <f t="shared" si="20"/>
        <v>0</v>
      </c>
      <c r="AV63" s="145"/>
      <c r="AZ63" s="145">
        <v>1.9309779218252832E-3</v>
      </c>
      <c r="BC63">
        <f t="shared" si="21"/>
        <v>-4.8114152175248261E-2</v>
      </c>
      <c r="BD63" s="133">
        <v>4.5</v>
      </c>
      <c r="BG63" s="122">
        <f t="shared" si="22"/>
        <v>1.9330125935824512E-2</v>
      </c>
      <c r="BH63" s="123">
        <v>80485</v>
      </c>
      <c r="BI63" s="124">
        <v>4163708</v>
      </c>
      <c r="BJ63" s="125">
        <v>1210986</v>
      </c>
      <c r="BK63">
        <f t="shared" si="23"/>
        <v>0.29084316191241077</v>
      </c>
    </row>
    <row r="64" spans="1:63" thickBot="1">
      <c r="A64" s="115" t="s">
        <v>65</v>
      </c>
      <c r="B64" s="133">
        <v>7.1</v>
      </c>
      <c r="C64" s="118">
        <f t="shared" si="25"/>
        <v>0.32979450670214683</v>
      </c>
      <c r="D64" s="30"/>
      <c r="E64" s="2"/>
      <c r="F64" s="15">
        <f t="shared" si="1"/>
        <v>50.41</v>
      </c>
      <c r="G64" s="16">
        <f t="shared" si="2"/>
        <v>2.3415409975852421</v>
      </c>
      <c r="H64" s="2"/>
      <c r="K64" s="2"/>
      <c r="L64" s="17">
        <f t="shared" si="3"/>
        <v>0.813549566765011</v>
      </c>
      <c r="M64" s="2"/>
      <c r="N64" s="18">
        <f t="shared" si="4"/>
        <v>1.0018906488279058E-3</v>
      </c>
      <c r="O64" s="19">
        <f t="shared" si="26"/>
        <v>-1.2776470588235309</v>
      </c>
      <c r="P64" s="19">
        <f t="shared" si="6"/>
        <v>1.6323820069204191</v>
      </c>
      <c r="Q64" s="20">
        <f t="shared" si="7"/>
        <v>0.29814185043402447</v>
      </c>
      <c r="R64" s="144">
        <f t="shared" si="27"/>
        <v>3.1652656268122359E-2</v>
      </c>
      <c r="S64" s="21">
        <f t="shared" si="9"/>
        <v>1.0018906488279058E-3</v>
      </c>
      <c r="T64" s="22">
        <f t="shared" si="10"/>
        <v>-3.113741896636657E-2</v>
      </c>
      <c r="U64" s="23">
        <f t="shared" si="11"/>
        <v>9.6953885988704464E-4</v>
      </c>
      <c r="V64" s="24">
        <f t="shared" si="12"/>
        <v>1.9499584148531316E-3</v>
      </c>
      <c r="W64" s="25">
        <f t="shared" si="13"/>
        <v>4.4158333470061248E-2</v>
      </c>
      <c r="X64" s="25">
        <f t="shared" si="14"/>
        <v>0.71679915840987141</v>
      </c>
      <c r="Y64" s="26">
        <f t="shared" si="28"/>
        <v>1.2037062152420224E-35</v>
      </c>
      <c r="Z64" s="15">
        <f t="shared" si="15"/>
        <v>1.6323820069204191</v>
      </c>
      <c r="AA64" s="149">
        <f t="shared" si="17"/>
        <v>0.68871130581597118</v>
      </c>
      <c r="AD64" s="2"/>
      <c r="AF64" s="2"/>
      <c r="AG64" s="2"/>
      <c r="AI64" s="122">
        <f t="shared" si="18"/>
        <v>1.9088346313727363E-2</v>
      </c>
      <c r="AJ64" s="123">
        <v>20774</v>
      </c>
      <c r="AK64" s="126">
        <v>1088308</v>
      </c>
      <c r="AL64" s="125">
        <v>358918</v>
      </c>
      <c r="AM64">
        <f t="shared" si="19"/>
        <v>0.32979450670214683</v>
      </c>
      <c r="AQ64" s="163">
        <v>3.1652656268122359E-2</v>
      </c>
      <c r="AR64" s="164">
        <f t="shared" si="20"/>
        <v>0</v>
      </c>
      <c r="AV64" s="145"/>
      <c r="AZ64" s="145">
        <v>3.1652656268122359E-2</v>
      </c>
      <c r="BC64">
        <f t="shared" si="21"/>
        <v>-9.8114350578191734E-2</v>
      </c>
      <c r="BD64" s="133">
        <v>7.1</v>
      </c>
      <c r="BG64" s="122">
        <f t="shared" si="22"/>
        <v>1.9088346313727363E-2</v>
      </c>
      <c r="BH64" s="123">
        <v>20774</v>
      </c>
      <c r="BI64" s="126">
        <v>1088308</v>
      </c>
      <c r="BJ64" s="125">
        <v>358918</v>
      </c>
      <c r="BK64">
        <f t="shared" si="23"/>
        <v>0.32979450670214683</v>
      </c>
    </row>
    <row r="65" spans="1:63" thickBot="1">
      <c r="A65" s="115" t="s">
        <v>52</v>
      </c>
      <c r="B65" s="133">
        <v>6.4</v>
      </c>
      <c r="C65" s="118">
        <f t="shared" si="25"/>
        <v>0.29617217753946978</v>
      </c>
      <c r="D65" s="30"/>
      <c r="E65" s="2"/>
      <c r="F65" s="15">
        <f t="shared" si="1"/>
        <v>40.960000000000008</v>
      </c>
      <c r="G65" s="16">
        <f t="shared" si="2"/>
        <v>1.8955019362526067</v>
      </c>
      <c r="H65" s="2"/>
      <c r="K65" s="2"/>
      <c r="L65" s="17">
        <f t="shared" si="3"/>
        <v>0.73334045454874242</v>
      </c>
      <c r="M65" s="2"/>
      <c r="N65" s="18">
        <f t="shared" si="4"/>
        <v>2.6546947712060718E-7</v>
      </c>
      <c r="O65" s="19">
        <f t="shared" si="26"/>
        <v>-1.9776470588235302</v>
      </c>
      <c r="P65" s="19">
        <f t="shared" si="6"/>
        <v>3.9110878892733596</v>
      </c>
      <c r="Q65" s="20">
        <f t="shared" si="7"/>
        <v>0.29565694023771399</v>
      </c>
      <c r="R65" s="144">
        <f t="shared" si="27"/>
        <v>5.1523730175578875E-4</v>
      </c>
      <c r="S65" s="21">
        <f t="shared" si="9"/>
        <v>2.6546947712058569E-7</v>
      </c>
      <c r="T65" s="22">
        <f t="shared" si="10"/>
        <v>-3.9797334897457182E-2</v>
      </c>
      <c r="U65" s="23">
        <f t="shared" si="11"/>
        <v>1.5838278649403631E-3</v>
      </c>
      <c r="V65" s="24">
        <f t="shared" si="12"/>
        <v>1.9459271378471899E-3</v>
      </c>
      <c r="W65" s="25">
        <f t="shared" si="13"/>
        <v>4.4112664143612888E-2</v>
      </c>
      <c r="X65" s="25">
        <f t="shared" si="14"/>
        <v>1.1680031386868536E-2</v>
      </c>
      <c r="Y65" s="26">
        <f t="shared" si="28"/>
        <v>4.3333423748712807E-34</v>
      </c>
      <c r="Z65" s="15">
        <f t="shared" si="15"/>
        <v>3.9110878892733596</v>
      </c>
      <c r="AA65" s="149">
        <f t="shared" si="17"/>
        <v>-1.1891717578043744E-2</v>
      </c>
      <c r="AD65" s="2"/>
      <c r="AF65" s="2"/>
      <c r="AG65" s="2"/>
      <c r="AI65" s="122">
        <f t="shared" si="18"/>
        <v>1.7312338804742738E-2</v>
      </c>
      <c r="AJ65" s="123">
        <v>54398</v>
      </c>
      <c r="AK65" s="124">
        <v>3142152</v>
      </c>
      <c r="AL65" s="125">
        <v>930618</v>
      </c>
      <c r="AM65">
        <f t="shared" si="19"/>
        <v>0.29617217753946978</v>
      </c>
      <c r="AQ65" s="163">
        <v>5.1523730175578875E-4</v>
      </c>
      <c r="AR65" s="164">
        <f t="shared" si="20"/>
        <v>0</v>
      </c>
      <c r="AV65" s="145"/>
      <c r="AZ65" s="145">
        <v>5.1523730175578875E-4</v>
      </c>
      <c r="BC65">
        <f t="shared" si="21"/>
        <v>-8.4652758700476199E-2</v>
      </c>
      <c r="BD65" s="133">
        <v>6.4</v>
      </c>
      <c r="BG65" s="122">
        <f t="shared" si="22"/>
        <v>1.7312338804742738E-2</v>
      </c>
      <c r="BH65" s="123">
        <v>54398</v>
      </c>
      <c r="BI65" s="124">
        <v>3142152</v>
      </c>
      <c r="BJ65" s="125">
        <v>930618</v>
      </c>
      <c r="BK65">
        <f t="shared" si="23"/>
        <v>0.29617217753946978</v>
      </c>
    </row>
    <row r="66" spans="1:63" thickBot="1">
      <c r="A66" s="115" t="s">
        <v>22</v>
      </c>
      <c r="B66" s="133">
        <v>8.1999999999999993</v>
      </c>
      <c r="C66" s="118">
        <f t="shared" ref="C66:C86" si="29">(BJ66/BI66)</f>
        <v>0.26276461171823956</v>
      </c>
      <c r="D66" s="30"/>
      <c r="E66" s="2"/>
      <c r="F66" s="15">
        <f t="shared" si="1"/>
        <v>67.239999999999995</v>
      </c>
      <c r="G66" s="16">
        <f t="shared" si="2"/>
        <v>2.1546698160895641</v>
      </c>
      <c r="H66" s="2"/>
      <c r="K66" s="2"/>
      <c r="L66" s="17">
        <f t="shared" si="3"/>
        <v>0.93959245739057606</v>
      </c>
      <c r="M66" s="2"/>
      <c r="N66" s="18">
        <f t="shared" si="4"/>
        <v>1.5430831915182108E-3</v>
      </c>
      <c r="O66" s="19">
        <f t="shared" si="26"/>
        <v>-0.17764705882353127</v>
      </c>
      <c r="P66" s="19">
        <f t="shared" si="6"/>
        <v>3.1558477508651178E-2</v>
      </c>
      <c r="Q66" s="20">
        <f t="shared" si="7"/>
        <v>0.30204670931394095</v>
      </c>
      <c r="R66" s="144">
        <f t="shared" si="27"/>
        <v>-3.9282097595701393E-2</v>
      </c>
      <c r="S66" s="21">
        <f t="shared" si="9"/>
        <v>1.5430831915182091E-3</v>
      </c>
      <c r="T66" s="22">
        <f t="shared" si="10"/>
        <v>3.9827579135863767E-2</v>
      </c>
      <c r="U66" s="23">
        <f t="shared" si="11"/>
        <v>1.5862360598234908E-3</v>
      </c>
      <c r="V66" s="24">
        <f t="shared" si="12"/>
        <v>1.9527904447059817E-3</v>
      </c>
      <c r="W66" s="25">
        <f t="shared" si="13"/>
        <v>4.4190388600984058E-2</v>
      </c>
      <c r="X66" s="25">
        <f t="shared" si="14"/>
        <v>-0.88892853942512362</v>
      </c>
      <c r="Y66" s="26">
        <f t="shared" si="28"/>
        <v>4.3333423748712807E-34</v>
      </c>
      <c r="Z66" s="15">
        <f t="shared" si="15"/>
        <v>3.1558477508651178E-2</v>
      </c>
      <c r="AA66" s="149">
        <f t="shared" si="17"/>
        <v>-0.90734593561390064</v>
      </c>
      <c r="AD66" s="2"/>
      <c r="AF66" s="2"/>
      <c r="AG66" s="2"/>
      <c r="AI66" s="122">
        <f t="shared" si="18"/>
        <v>1.8792402088707555E-2</v>
      </c>
      <c r="AJ66" s="123">
        <v>105209</v>
      </c>
      <c r="AK66" s="124">
        <v>5598486</v>
      </c>
      <c r="AL66" s="125">
        <v>1471084</v>
      </c>
      <c r="AM66">
        <f t="shared" si="19"/>
        <v>0.26276461171823956</v>
      </c>
      <c r="AQ66" s="163">
        <v>-3.9282097595701393E-2</v>
      </c>
      <c r="AR66" s="164">
        <f t="shared" si="20"/>
        <v>0</v>
      </c>
      <c r="AV66" s="145"/>
      <c r="AZ66" s="145">
        <v>-3.9282097595701393E-2</v>
      </c>
      <c r="BC66">
        <f t="shared" si="21"/>
        <v>-0.11926828067174472</v>
      </c>
      <c r="BD66" s="133">
        <v>8.1999999999999993</v>
      </c>
      <c r="BG66" s="122">
        <f t="shared" si="22"/>
        <v>1.8792402088707555E-2</v>
      </c>
      <c r="BH66" s="123">
        <v>105209</v>
      </c>
      <c r="BI66" s="124">
        <v>5598486</v>
      </c>
      <c r="BJ66" s="125">
        <v>1471084</v>
      </c>
      <c r="BK66">
        <f t="shared" si="23"/>
        <v>0.26276461171823956</v>
      </c>
    </row>
    <row r="67" spans="1:63" thickBot="1">
      <c r="A67" s="115" t="s">
        <v>61</v>
      </c>
      <c r="B67" s="133">
        <v>4.5999999999999996</v>
      </c>
      <c r="C67" s="118">
        <f t="shared" si="29"/>
        <v>0.28981265270164935</v>
      </c>
      <c r="D67" s="30"/>
      <c r="E67" s="2"/>
      <c r="F67" s="15">
        <f t="shared" si="1"/>
        <v>21.159999999999997</v>
      </c>
      <c r="G67" s="16">
        <f t="shared" si="2"/>
        <v>1.3331382024275868</v>
      </c>
      <c r="H67" s="2"/>
      <c r="K67" s="2"/>
      <c r="L67" s="17">
        <f t="shared" si="3"/>
        <v>0.52708845170690855</v>
      </c>
      <c r="M67" s="2"/>
      <c r="N67" s="18">
        <f t="shared" si="4"/>
        <v>2.9755011065793034E-7</v>
      </c>
      <c r="O67" s="19">
        <f t="shared" si="26"/>
        <v>-3.7776470588235309</v>
      </c>
      <c r="P67" s="19">
        <f t="shared" si="6"/>
        <v>14.270617301038074</v>
      </c>
      <c r="Q67" s="20">
        <f t="shared" si="7"/>
        <v>0.28926717116148698</v>
      </c>
      <c r="R67" s="144">
        <f t="shared" si="27"/>
        <v>5.454815401623736E-4</v>
      </c>
      <c r="S67" s="21">
        <f t="shared" si="9"/>
        <v>2.975501106579152E-7</v>
      </c>
      <c r="T67" s="22">
        <f t="shared" si="10"/>
        <v>6.8393237868742962E-3</v>
      </c>
      <c r="U67" s="23">
        <f t="shared" si="11"/>
        <v>4.6776349861704563E-5</v>
      </c>
      <c r="V67" s="24">
        <f t="shared" si="12"/>
        <v>1.927600010580154E-3</v>
      </c>
      <c r="W67" s="25">
        <f t="shared" si="13"/>
        <v>4.3904441809231032E-2</v>
      </c>
      <c r="X67" s="25">
        <f t="shared" si="14"/>
        <v>1.2424290520137864E-2</v>
      </c>
      <c r="Y67" s="26">
        <f t="shared" si="28"/>
        <v>1.9259299443872359E-34</v>
      </c>
      <c r="Z67" s="15">
        <f t="shared" si="15"/>
        <v>14.270617301038074</v>
      </c>
      <c r="AA67" s="149">
        <f t="shared" ref="AA67:AA86" si="30">(R67-AB$2)/AD$2</f>
        <v>-1.1211211435553562E-2</v>
      </c>
      <c r="AD67" s="2"/>
      <c r="AF67" s="2"/>
      <c r="AG67" s="2"/>
      <c r="AI67" s="122">
        <f t="shared" ref="AI67:AI86" si="31">(AJ67/AK67)</f>
        <v>2.2434924245008106E-2</v>
      </c>
      <c r="AJ67" s="123">
        <v>53938</v>
      </c>
      <c r="AK67" s="126">
        <v>2404198</v>
      </c>
      <c r="AL67" s="125">
        <v>696767</v>
      </c>
      <c r="AM67">
        <f t="shared" ref="AM67:AM86" si="32">AL67/AK67</f>
        <v>0.28981265270164935</v>
      </c>
      <c r="AQ67" s="163">
        <v>5.454815401623736E-4</v>
      </c>
      <c r="AR67" s="164">
        <f t="shared" ref="AR67:AR86" si="33">IF(OR(AQ67&lt;QUARTILE(AQ$2:AQ$87,1)-1.5*AS$2, AQ67&gt;QUARTILE(AQ$2:AQ$87,3)+1.5*AS$2),1,0)</f>
        <v>0</v>
      </c>
      <c r="AV67" s="145"/>
      <c r="AZ67" s="145">
        <v>5.454815401623736E-4</v>
      </c>
      <c r="BC67">
        <f t="shared" ref="BC67:BC86" si="34">$BB$2+BB$3*BD67</f>
        <v>-5.0037236729207617E-2</v>
      </c>
      <c r="BD67" s="133">
        <v>4.5999999999999996</v>
      </c>
      <c r="BG67" s="122">
        <f t="shared" ref="BG67:BG86" si="35">(BH67/BI67)</f>
        <v>2.2434924245008106E-2</v>
      </c>
      <c r="BH67" s="123">
        <v>53938</v>
      </c>
      <c r="BI67" s="126">
        <v>2404198</v>
      </c>
      <c r="BJ67" s="125">
        <v>696767</v>
      </c>
      <c r="BK67">
        <f t="shared" ref="BK67:BK86" si="36">BJ67/BI67</f>
        <v>0.28981265270164935</v>
      </c>
    </row>
    <row r="68" spans="1:63" thickBot="1">
      <c r="A68" s="115" t="s">
        <v>2</v>
      </c>
      <c r="B68" s="133">
        <v>17.600000000000001</v>
      </c>
      <c r="C68" s="118">
        <f t="shared" si="29"/>
        <v>0.34280030870571865</v>
      </c>
      <c r="D68" s="30"/>
      <c r="E68" s="2"/>
      <c r="F68" s="15">
        <f t="shared" si="1"/>
        <v>309.76000000000005</v>
      </c>
      <c r="G68" s="16">
        <f t="shared" si="2"/>
        <v>6.0332854332206489</v>
      </c>
      <c r="H68" s="2"/>
      <c r="K68" s="2"/>
      <c r="L68" s="17">
        <f t="shared" si="3"/>
        <v>2.0166862500090419</v>
      </c>
      <c r="M68" s="2"/>
      <c r="N68" s="18">
        <f t="shared" si="4"/>
        <v>5.4535349718228767E-5</v>
      </c>
      <c r="O68" s="19">
        <f t="shared" si="26"/>
        <v>9.2223529411764709</v>
      </c>
      <c r="P68" s="19">
        <f t="shared" si="6"/>
        <v>85.051793771626308</v>
      </c>
      <c r="Q68" s="20">
        <f t="shared" si="7"/>
        <v>0.33541550337868198</v>
      </c>
      <c r="R68" s="144">
        <f t="shared" si="27"/>
        <v>7.3848053270366698E-3</v>
      </c>
      <c r="S68" s="21">
        <f t="shared" si="9"/>
        <v>5.4535349718229174E-5</v>
      </c>
      <c r="T68" s="22">
        <f t="shared" si="10"/>
        <v>-5.8737917258080974E-3</v>
      </c>
      <c r="U68" s="23">
        <f t="shared" si="11"/>
        <v>3.4501429238171666E-5</v>
      </c>
      <c r="V68" s="24">
        <f t="shared" si="12"/>
        <v>1.8023804588296836E-3</v>
      </c>
      <c r="W68" s="25">
        <f t="shared" si="13"/>
        <v>4.2454451578482127E-2</v>
      </c>
      <c r="X68" s="25">
        <f t="shared" si="14"/>
        <v>0.17394654865308939</v>
      </c>
      <c r="Y68" s="26">
        <f t="shared" si="28"/>
        <v>7.7037197775489434E-34</v>
      </c>
      <c r="Z68" s="15">
        <f t="shared" si="15"/>
        <v>85.051793771626308</v>
      </c>
      <c r="AA68" s="149">
        <f t="shared" si="30"/>
        <v>0.14267601114479231</v>
      </c>
      <c r="AD68" s="2"/>
      <c r="AF68" s="2"/>
      <c r="AG68" s="2"/>
      <c r="AI68" s="122">
        <f t="shared" si="31"/>
        <v>2.9340087176755764E-2</v>
      </c>
      <c r="AJ68" s="123">
        <v>13496</v>
      </c>
      <c r="AK68" s="124">
        <v>459985</v>
      </c>
      <c r="AL68" s="125">
        <v>157683</v>
      </c>
      <c r="AM68">
        <f t="shared" si="32"/>
        <v>0.34280030870571865</v>
      </c>
      <c r="AQ68" s="163">
        <v>7.3848053270366698E-3</v>
      </c>
      <c r="AR68" s="164">
        <f t="shared" si="33"/>
        <v>0</v>
      </c>
      <c r="AV68" s="145"/>
      <c r="AZ68" s="145">
        <v>7.3848053270366698E-3</v>
      </c>
      <c r="BC68">
        <f t="shared" si="34"/>
        <v>-0.30003822874392505</v>
      </c>
      <c r="BD68" s="133">
        <v>17.600000000000001</v>
      </c>
      <c r="BG68" s="122">
        <f t="shared" si="35"/>
        <v>2.9340087176755764E-2</v>
      </c>
      <c r="BH68" s="123">
        <v>13496</v>
      </c>
      <c r="BI68" s="124">
        <v>459985</v>
      </c>
      <c r="BJ68" s="125">
        <v>157683</v>
      </c>
      <c r="BK68">
        <f t="shared" si="36"/>
        <v>0.34280030870571865</v>
      </c>
    </row>
    <row r="69" spans="1:63" thickBot="1">
      <c r="A69" s="115" t="s">
        <v>20</v>
      </c>
      <c r="B69" s="133">
        <v>8.8000000000000007</v>
      </c>
      <c r="C69" s="118">
        <f t="shared" si="29"/>
        <v>0.30568764594057857</v>
      </c>
      <c r="D69" s="30"/>
      <c r="E69" s="2"/>
      <c r="F69" s="15">
        <f t="shared" si="1"/>
        <v>77.440000000000012</v>
      </c>
      <c r="G69" s="27">
        <f t="shared" si="2"/>
        <v>2.6900512842770916</v>
      </c>
      <c r="H69" s="2"/>
      <c r="K69" s="2"/>
      <c r="L69" s="17">
        <f t="shared" si="3"/>
        <v>1.0083431250045209</v>
      </c>
      <c r="M69" s="2"/>
      <c r="N69" s="18">
        <f t="shared" si="4"/>
        <v>2.2831621030977813E-6</v>
      </c>
      <c r="O69" s="19">
        <f t="shared" si="26"/>
        <v>0.42235294117647015</v>
      </c>
      <c r="P69" s="19">
        <f t="shared" si="6"/>
        <v>0.17838200692041487</v>
      </c>
      <c r="Q69" s="20">
        <f t="shared" si="7"/>
        <v>0.30417663233934999</v>
      </c>
      <c r="R69" s="144">
        <f t="shared" si="27"/>
        <v>1.5110136012285724E-3</v>
      </c>
      <c r="S69" s="21">
        <f t="shared" si="9"/>
        <v>2.2831621030977394E-6</v>
      </c>
      <c r="T69" s="22">
        <f t="shared" si="10"/>
        <v>-0.10314896768639512</v>
      </c>
      <c r="U69" s="23">
        <f t="shared" si="11"/>
        <v>1.0639709534768983E-2</v>
      </c>
      <c r="V69" s="24">
        <f t="shared" si="12"/>
        <v>1.9525306980126356E-3</v>
      </c>
      <c r="W69" s="25">
        <f t="shared" si="13"/>
        <v>4.4187449553155199E-2</v>
      </c>
      <c r="X69" s="25">
        <f t="shared" si="14"/>
        <v>3.4195537794298396E-2</v>
      </c>
      <c r="Y69" s="26">
        <f t="shared" si="28"/>
        <v>1.9259299443872359E-34</v>
      </c>
      <c r="Z69" s="15">
        <f t="shared" si="15"/>
        <v>0.17838200692041487</v>
      </c>
      <c r="AA69" s="149">
        <f t="shared" si="30"/>
        <v>1.0513604031570208E-2</v>
      </c>
      <c r="AD69" s="2"/>
      <c r="AF69" s="2"/>
      <c r="AG69" s="2"/>
      <c r="AI69" s="122">
        <f t="shared" si="31"/>
        <v>1.3768039193161342E-2</v>
      </c>
      <c r="AJ69" s="123">
        <v>58367</v>
      </c>
      <c r="AK69" s="124">
        <v>4239311</v>
      </c>
      <c r="AL69" s="125">
        <v>1295905</v>
      </c>
      <c r="AM69">
        <f t="shared" si="32"/>
        <v>0.30568764594057857</v>
      </c>
      <c r="AQ69" s="163">
        <v>1.5110136012285724E-3</v>
      </c>
      <c r="AR69" s="164">
        <f t="shared" si="33"/>
        <v>0</v>
      </c>
      <c r="AV69" s="145"/>
      <c r="AZ69" s="145">
        <v>1.5110136012285724E-3</v>
      </c>
      <c r="BC69">
        <f t="shared" si="34"/>
        <v>-0.13080678799550094</v>
      </c>
      <c r="BD69" s="133">
        <v>8.8000000000000007</v>
      </c>
      <c r="BG69" s="122">
        <f t="shared" si="35"/>
        <v>1.3768039193161342E-2</v>
      </c>
      <c r="BH69" s="123">
        <v>58367</v>
      </c>
      <c r="BI69" s="124">
        <v>4239311</v>
      </c>
      <c r="BJ69" s="125">
        <v>1295905</v>
      </c>
      <c r="BK69">
        <f t="shared" si="36"/>
        <v>0.30568764594057857</v>
      </c>
    </row>
    <row r="70" spans="1:63" thickBot="1">
      <c r="A70" s="115" t="s">
        <v>9</v>
      </c>
      <c r="B70" s="133">
        <v>9.1999999999999993</v>
      </c>
      <c r="C70" s="118">
        <f t="shared" si="29"/>
        <v>0.20395862693778941</v>
      </c>
      <c r="D70" s="30"/>
      <c r="E70" s="2"/>
      <c r="F70" s="15">
        <f t="shared" si="1"/>
        <v>84.639999999999986</v>
      </c>
      <c r="G70" s="27">
        <f t="shared" si="2"/>
        <v>1.8764193678276624</v>
      </c>
      <c r="H70" s="2"/>
      <c r="K70" s="2"/>
      <c r="L70" s="17">
        <f t="shared" si="3"/>
        <v>1.0541769034138171</v>
      </c>
      <c r="M70" s="2"/>
      <c r="N70" s="18">
        <f t="shared" si="4"/>
        <v>1.0330273710618428E-2</v>
      </c>
      <c r="O70" s="19">
        <f t="shared" si="26"/>
        <v>0.82235294117646873</v>
      </c>
      <c r="P70" s="19">
        <f t="shared" si="6"/>
        <v>0.67626435986158862</v>
      </c>
      <c r="Q70" s="20">
        <f t="shared" si="7"/>
        <v>0.30559658102295595</v>
      </c>
      <c r="R70" s="144">
        <f t="shared" si="27"/>
        <v>-0.10163795408516654</v>
      </c>
      <c r="S70" s="21">
        <f t="shared" si="9"/>
        <v>1.0330273710618423E-2</v>
      </c>
      <c r="T70" s="22">
        <f t="shared" si="10"/>
        <v>0.12016007955148902</v>
      </c>
      <c r="U70" s="23">
        <f t="shared" si="11"/>
        <v>1.4438444717820171E-2</v>
      </c>
      <c r="V70" s="24">
        <f t="shared" si="12"/>
        <v>1.9516498903153284E-3</v>
      </c>
      <c r="W70" s="25">
        <f t="shared" si="13"/>
        <v>4.417748171088217E-2</v>
      </c>
      <c r="X70" s="25">
        <f t="shared" si="14"/>
        <v>-2.3006733328606694</v>
      </c>
      <c r="Y70" s="26">
        <f t="shared" si="28"/>
        <v>7.7037197775489434E-34</v>
      </c>
      <c r="Z70" s="15">
        <f t="shared" si="15"/>
        <v>0.67626435986158862</v>
      </c>
      <c r="AA70" s="149">
        <f t="shared" si="30"/>
        <v>-2.3103749288015272</v>
      </c>
      <c r="AD70" s="2"/>
      <c r="AF70" s="2"/>
      <c r="AG70" s="2"/>
      <c r="AI70" s="122">
        <f t="shared" si="31"/>
        <v>1.6562886479335039E-2</v>
      </c>
      <c r="AJ70" s="123">
        <v>9214</v>
      </c>
      <c r="AK70" s="126">
        <v>556304</v>
      </c>
      <c r="AL70" s="125">
        <v>113463</v>
      </c>
      <c r="AM70">
        <f t="shared" si="32"/>
        <v>0.20395862693778941</v>
      </c>
      <c r="AQ70" s="163">
        <v>-0.10163795408516654</v>
      </c>
      <c r="AR70" s="164">
        <f t="shared" si="33"/>
        <v>0</v>
      </c>
      <c r="AV70" s="145"/>
      <c r="AZ70" s="145">
        <v>-0.10163795408516654</v>
      </c>
      <c r="BC70">
        <f t="shared" si="34"/>
        <v>-0.13849912621133836</v>
      </c>
      <c r="BD70" s="133">
        <v>9.1999999999999993</v>
      </c>
      <c r="BG70" s="122">
        <f t="shared" si="35"/>
        <v>1.6562886479335039E-2</v>
      </c>
      <c r="BH70" s="123">
        <v>9214</v>
      </c>
      <c r="BI70" s="126">
        <v>556304</v>
      </c>
      <c r="BJ70" s="125">
        <v>113463</v>
      </c>
      <c r="BK70">
        <f t="shared" si="36"/>
        <v>0.20395862693778941</v>
      </c>
    </row>
    <row r="71" spans="1:63" thickBot="1">
      <c r="A71" s="115" t="s">
        <v>28</v>
      </c>
      <c r="B71" s="133">
        <v>9.5</v>
      </c>
      <c r="C71" s="118">
        <f t="shared" si="29"/>
        <v>0.32518366800198295</v>
      </c>
      <c r="D71" s="30"/>
      <c r="E71" s="2"/>
      <c r="F71" s="15">
        <f t="shared" si="1"/>
        <v>90.25</v>
      </c>
      <c r="G71" s="27">
        <f t="shared" si="2"/>
        <v>3.089244846018838</v>
      </c>
      <c r="H71" s="2"/>
      <c r="K71" s="2"/>
      <c r="L71" s="17">
        <f t="shared" si="3"/>
        <v>1.0885522372207894</v>
      </c>
      <c r="M71" s="2"/>
      <c r="N71" s="18">
        <f t="shared" si="4"/>
        <v>3.4306913179019127E-4</v>
      </c>
      <c r="O71" s="19">
        <f t="shared" si="26"/>
        <v>1.1223529411764694</v>
      </c>
      <c r="P71" s="19">
        <f t="shared" si="6"/>
        <v>1.2596761245674715</v>
      </c>
      <c r="Q71" s="20">
        <f t="shared" si="7"/>
        <v>0.30666154253566047</v>
      </c>
      <c r="R71" s="144">
        <f t="shared" si="27"/>
        <v>1.8522125466322481E-2</v>
      </c>
      <c r="S71" s="21">
        <f t="shared" si="9"/>
        <v>3.4306913179019176E-4</v>
      </c>
      <c r="T71" s="22">
        <f t="shared" si="10"/>
        <v>-6.0398978446263546E-2</v>
      </c>
      <c r="U71" s="23">
        <f t="shared" si="11"/>
        <v>3.6480365973522084E-3</v>
      </c>
      <c r="V71" s="24">
        <f t="shared" si="12"/>
        <v>1.9506177718439325E-3</v>
      </c>
      <c r="W71" s="25">
        <f t="shared" si="13"/>
        <v>4.4165798666433422E-2</v>
      </c>
      <c r="X71" s="25">
        <f t="shared" si="14"/>
        <v>0.41937712043232078</v>
      </c>
      <c r="Y71" s="26">
        <f t="shared" si="28"/>
        <v>1.9259299443872359E-34</v>
      </c>
      <c r="Z71" s="15">
        <f t="shared" si="15"/>
        <v>1.2596761245674715</v>
      </c>
      <c r="AA71" s="149">
        <f t="shared" si="30"/>
        <v>0.39326968336017454</v>
      </c>
      <c r="AD71" s="2"/>
      <c r="AF71" s="2"/>
      <c r="AG71" s="2"/>
      <c r="AI71" s="122">
        <f t="shared" si="31"/>
        <v>2.2786624550203732E-2</v>
      </c>
      <c r="AJ71" s="123">
        <v>19903</v>
      </c>
      <c r="AK71" s="126">
        <v>873451</v>
      </c>
      <c r="AL71" s="125">
        <v>284032</v>
      </c>
      <c r="AM71">
        <f t="shared" si="32"/>
        <v>0.32518366800198295</v>
      </c>
      <c r="AQ71" s="163">
        <v>1.8522125466322481E-2</v>
      </c>
      <c r="AR71" s="164">
        <f t="shared" si="33"/>
        <v>0</v>
      </c>
      <c r="AV71" s="145"/>
      <c r="AZ71" s="145">
        <v>1.8522125466322481E-2</v>
      </c>
      <c r="BC71">
        <f t="shared" si="34"/>
        <v>-0.14426837987321647</v>
      </c>
      <c r="BD71" s="133">
        <v>9.5</v>
      </c>
      <c r="BG71" s="122">
        <f t="shared" si="35"/>
        <v>2.2786624550203732E-2</v>
      </c>
      <c r="BH71" s="123">
        <v>19903</v>
      </c>
      <c r="BI71" s="126">
        <v>873451</v>
      </c>
      <c r="BJ71" s="125">
        <v>284032</v>
      </c>
      <c r="BK71">
        <f t="shared" si="36"/>
        <v>0.32518366800198295</v>
      </c>
    </row>
    <row r="72" spans="1:63" thickBot="1">
      <c r="A72" s="115" t="s">
        <v>13</v>
      </c>
      <c r="B72" s="133">
        <v>4.0999999999999996</v>
      </c>
      <c r="C72" s="118">
        <f t="shared" si="29"/>
        <v>0.24561538232703842</v>
      </c>
      <c r="D72" s="30"/>
      <c r="E72" s="2"/>
      <c r="F72" s="15">
        <f t="shared" si="1"/>
        <v>16.809999999999999</v>
      </c>
      <c r="G72" s="27">
        <f t="shared" si="2"/>
        <v>1.0070230675408574</v>
      </c>
      <c r="H72" s="2"/>
      <c r="K72" s="2"/>
      <c r="L72" s="17">
        <f t="shared" si="3"/>
        <v>0.46979622869528803</v>
      </c>
      <c r="M72" s="2"/>
      <c r="N72" s="18">
        <f t="shared" si="4"/>
        <v>1.7536708155035977E-3</v>
      </c>
      <c r="O72" s="19">
        <f t="shared" si="26"/>
        <v>-4.2776470588235309</v>
      </c>
      <c r="P72" s="19">
        <f t="shared" si="6"/>
        <v>18.298264359861605</v>
      </c>
      <c r="Q72" s="20">
        <f t="shared" si="7"/>
        <v>0.28749223530697948</v>
      </c>
      <c r="R72" s="144">
        <f t="shared" si="27"/>
        <v>-4.1876852979941065E-2</v>
      </c>
      <c r="S72" s="21">
        <f t="shared" si="9"/>
        <v>1.7536708155035988E-3</v>
      </c>
      <c r="T72" s="22">
        <f t="shared" si="10"/>
        <v>9.019460451608749E-2</v>
      </c>
      <c r="U72" s="23">
        <f t="shared" si="11"/>
        <v>8.1350666838134293E-3</v>
      </c>
      <c r="V72" s="24">
        <f t="shared" si="12"/>
        <v>1.9204746675940206E-3</v>
      </c>
      <c r="W72" s="25">
        <f t="shared" si="13"/>
        <v>4.3823220643786791E-2</v>
      </c>
      <c r="X72" s="25">
        <f t="shared" si="14"/>
        <v>-0.95558592829891242</v>
      </c>
      <c r="Y72" s="26">
        <f t="shared" si="28"/>
        <v>3.009265538105056E-34</v>
      </c>
      <c r="Z72" s="15">
        <f t="shared" si="15"/>
        <v>18.298264359861605</v>
      </c>
      <c r="AA72" s="149">
        <f t="shared" si="30"/>
        <v>-0.96572885646966689</v>
      </c>
      <c r="AD72" s="2"/>
      <c r="AF72" s="2"/>
      <c r="AG72" s="2"/>
      <c r="AI72" s="122">
        <f t="shared" si="31"/>
        <v>2.0186433161691403E-2</v>
      </c>
      <c r="AJ72" s="123">
        <v>58357</v>
      </c>
      <c r="AK72" s="124">
        <v>2890902</v>
      </c>
      <c r="AL72" s="125">
        <v>710050</v>
      </c>
      <c r="AM72">
        <f t="shared" si="32"/>
        <v>0.24561538232703842</v>
      </c>
      <c r="AQ72" s="163">
        <v>-4.1876852979941065E-2</v>
      </c>
      <c r="AR72" s="164">
        <f t="shared" si="33"/>
        <v>0</v>
      </c>
      <c r="AV72" s="145"/>
      <c r="AZ72" s="145">
        <v>-4.1876852979941065E-2</v>
      </c>
      <c r="BC72">
        <f t="shared" si="34"/>
        <v>-4.0421813959410795E-2</v>
      </c>
      <c r="BD72" s="133">
        <v>4.0999999999999996</v>
      </c>
      <c r="BG72" s="122">
        <f t="shared" si="35"/>
        <v>2.0186433161691403E-2</v>
      </c>
      <c r="BH72" s="123">
        <v>58357</v>
      </c>
      <c r="BI72" s="124">
        <v>2890902</v>
      </c>
      <c r="BJ72" s="125">
        <v>710050</v>
      </c>
      <c r="BK72">
        <f t="shared" si="36"/>
        <v>0.24561538232703842</v>
      </c>
    </row>
    <row r="73" spans="1:63" thickBot="1">
      <c r="A73" s="115" t="s">
        <v>64</v>
      </c>
      <c r="B73" s="133">
        <v>5.3</v>
      </c>
      <c r="C73" s="118">
        <f t="shared" si="29"/>
        <v>0.34006983289394388</v>
      </c>
      <c r="D73" s="30"/>
      <c r="E73" s="2"/>
      <c r="F73" s="15">
        <f t="shared" si="1"/>
        <v>28.09</v>
      </c>
      <c r="G73" s="27">
        <f t="shared" si="2"/>
        <v>1.8023701143379025</v>
      </c>
      <c r="H73" s="2"/>
      <c r="K73" s="2"/>
      <c r="L73" s="17">
        <f t="shared" si="3"/>
        <v>0.60729756392317724</v>
      </c>
      <c r="M73" s="2"/>
      <c r="N73" s="18">
        <f t="shared" si="4"/>
        <v>2.3346051135087788E-3</v>
      </c>
      <c r="O73" s="19">
        <f t="shared" si="26"/>
        <v>-3.0776470588235307</v>
      </c>
      <c r="P73" s="19">
        <f t="shared" si="6"/>
        <v>9.4719114186851296</v>
      </c>
      <c r="Q73" s="20">
        <f t="shared" si="7"/>
        <v>0.29175208135779745</v>
      </c>
      <c r="R73" s="144">
        <f t="shared" si="27"/>
        <v>4.8317751536146425E-2</v>
      </c>
      <c r="S73" s="21">
        <f t="shared" si="9"/>
        <v>2.3346051135087801E-3</v>
      </c>
      <c r="T73" s="22">
        <f t="shared" si="10"/>
        <v>-3.563477181748459E-2</v>
      </c>
      <c r="U73" s="23">
        <f t="shared" si="11"/>
        <v>1.269836962484194E-3</v>
      </c>
      <c r="V73" s="24">
        <f t="shared" si="12"/>
        <v>1.9360894399670797E-3</v>
      </c>
      <c r="W73" s="25">
        <f t="shared" si="13"/>
        <v>4.4001016351523967E-2</v>
      </c>
      <c r="X73" s="25">
        <f t="shared" si="14"/>
        <v>1.0981053517067896</v>
      </c>
      <c r="Y73" s="26">
        <f t="shared" si="28"/>
        <v>1.9259299443872359E-34</v>
      </c>
      <c r="Z73" s="15">
        <f t="shared" si="15"/>
        <v>9.4719114186851296</v>
      </c>
      <c r="AA73" s="149">
        <f t="shared" si="30"/>
        <v>1.0636818883982495</v>
      </c>
      <c r="AD73" s="2"/>
      <c r="AF73" s="2"/>
      <c r="AG73" s="2"/>
      <c r="AI73" s="122">
        <f t="shared" si="31"/>
        <v>1.7959396686872367E-2</v>
      </c>
      <c r="AJ73" s="123">
        <v>17344</v>
      </c>
      <c r="AK73" s="124">
        <v>965734</v>
      </c>
      <c r="AL73" s="125">
        <v>328417</v>
      </c>
      <c r="AM73">
        <f t="shared" si="32"/>
        <v>0.34006983289394388</v>
      </c>
      <c r="AQ73" s="163">
        <v>4.8317751536146425E-2</v>
      </c>
      <c r="AR73" s="164">
        <f t="shared" si="33"/>
        <v>0</v>
      </c>
      <c r="AV73" s="145"/>
      <c r="AZ73" s="145">
        <v>4.8317751536146425E-2</v>
      </c>
      <c r="BC73">
        <f t="shared" si="34"/>
        <v>-6.3498828606923186E-2</v>
      </c>
      <c r="BD73" s="133">
        <v>5.3</v>
      </c>
      <c r="BG73" s="122">
        <f t="shared" si="35"/>
        <v>1.7959396686872367E-2</v>
      </c>
      <c r="BH73" s="123">
        <v>17344</v>
      </c>
      <c r="BI73" s="124">
        <v>965734</v>
      </c>
      <c r="BJ73" s="125">
        <v>328417</v>
      </c>
      <c r="BK73">
        <f t="shared" si="36"/>
        <v>0.34006983289394388</v>
      </c>
    </row>
    <row r="74" spans="1:63" thickBot="1">
      <c r="A74" s="115" t="s">
        <v>43</v>
      </c>
      <c r="B74" s="133">
        <v>10.8</v>
      </c>
      <c r="C74" s="118">
        <f t="shared" si="29"/>
        <v>0.32395935547604182</v>
      </c>
      <c r="D74" s="30"/>
      <c r="E74" s="2"/>
      <c r="F74" s="15">
        <f t="shared" si="1"/>
        <v>116.64000000000001</v>
      </c>
      <c r="G74" s="27">
        <f t="shared" si="2"/>
        <v>3.498761039141252</v>
      </c>
      <c r="H74" s="2"/>
      <c r="K74" s="2"/>
      <c r="L74" s="17">
        <f t="shared" si="3"/>
        <v>1.2375120170510028</v>
      </c>
      <c r="M74" s="2"/>
      <c r="N74" s="18">
        <f t="shared" si="4"/>
        <v>1.6085797454398746E-4</v>
      </c>
      <c r="O74" s="19">
        <f t="shared" si="26"/>
        <v>2.4223529411764702</v>
      </c>
      <c r="P74" s="19">
        <f t="shared" si="6"/>
        <v>5.8677937716262951</v>
      </c>
      <c r="Q74" s="20">
        <f t="shared" si="7"/>
        <v>0.31127637575737999</v>
      </c>
      <c r="R74" s="144">
        <f t="shared" si="27"/>
        <v>1.2682979718661835E-2</v>
      </c>
      <c r="S74" s="21">
        <f t="shared" si="9"/>
        <v>1.6085797454398746E-4</v>
      </c>
      <c r="T74" s="22">
        <f t="shared" si="10"/>
        <v>-3.5349445022499759E-2</v>
      </c>
      <c r="U74" s="23">
        <f t="shared" si="11"/>
        <v>1.249583263398733E-3</v>
      </c>
      <c r="V74" s="24">
        <f t="shared" si="12"/>
        <v>1.9424655136454846E-3</v>
      </c>
      <c r="W74" s="25">
        <f t="shared" si="13"/>
        <v>4.407341050617123E-2</v>
      </c>
      <c r="X74" s="25">
        <f t="shared" si="14"/>
        <v>0.28776941863589034</v>
      </c>
      <c r="Y74" s="26">
        <f t="shared" si="28"/>
        <v>0</v>
      </c>
      <c r="Z74" s="15">
        <f t="shared" si="15"/>
        <v>5.8677937716262951</v>
      </c>
      <c r="AA74" s="149">
        <f t="shared" si="30"/>
        <v>0.26188682310228961</v>
      </c>
      <c r="AD74" s="2"/>
      <c r="AF74" s="2"/>
      <c r="AG74" s="2"/>
      <c r="AI74" s="122">
        <f t="shared" si="31"/>
        <v>2.3040542103193874E-2</v>
      </c>
      <c r="AJ74" s="123">
        <v>27895</v>
      </c>
      <c r="AK74" s="126">
        <v>1210692</v>
      </c>
      <c r="AL74" s="125">
        <v>392215</v>
      </c>
      <c r="AM74">
        <f t="shared" si="32"/>
        <v>0.32395935547604182</v>
      </c>
      <c r="AQ74" s="163">
        <v>1.2682979718661835E-2</v>
      </c>
      <c r="AR74" s="164">
        <f t="shared" si="33"/>
        <v>0</v>
      </c>
      <c r="AV74" s="145"/>
      <c r="AZ74" s="145">
        <v>1.2682979718661835E-2</v>
      </c>
      <c r="BC74">
        <f t="shared" si="34"/>
        <v>-0.16926847907468823</v>
      </c>
      <c r="BD74" s="133">
        <v>10.8</v>
      </c>
      <c r="BG74" s="122">
        <f t="shared" si="35"/>
        <v>2.3040542103193874E-2</v>
      </c>
      <c r="BH74" s="123">
        <v>27895</v>
      </c>
      <c r="BI74" s="126">
        <v>1210692</v>
      </c>
      <c r="BJ74" s="125">
        <v>392215</v>
      </c>
      <c r="BK74">
        <f t="shared" si="36"/>
        <v>0.32395935547604182</v>
      </c>
    </row>
    <row r="75" spans="1:63" thickBot="1">
      <c r="A75" s="115" t="s">
        <v>82</v>
      </c>
      <c r="B75" s="133">
        <v>7.2</v>
      </c>
      <c r="C75" s="118">
        <f t="shared" si="29"/>
        <v>0.27583037230108803</v>
      </c>
      <c r="D75" s="30"/>
      <c r="E75" s="2"/>
      <c r="F75" s="15">
        <f t="shared" si="1"/>
        <v>51.84</v>
      </c>
      <c r="G75" s="27">
        <f t="shared" si="2"/>
        <v>1.9859786805678339</v>
      </c>
      <c r="H75" s="2"/>
      <c r="K75" s="2"/>
      <c r="L75" s="17">
        <f t="shared" si="3"/>
        <v>0.82500801136733526</v>
      </c>
      <c r="M75" s="2"/>
      <c r="N75" s="18">
        <f t="shared" si="4"/>
        <v>5.1376864937008923E-4</v>
      </c>
      <c r="O75" s="19">
        <f t="shared" si="26"/>
        <v>-1.1776470588235304</v>
      </c>
      <c r="P75" s="19">
        <f t="shared" si="6"/>
        <v>1.3868525951557116</v>
      </c>
      <c r="Q75" s="20">
        <f t="shared" si="7"/>
        <v>0.29849683760492596</v>
      </c>
      <c r="R75" s="144">
        <f t="shared" si="27"/>
        <v>-2.2666465303837924E-2</v>
      </c>
      <c r="S75" s="21">
        <f t="shared" si="9"/>
        <v>5.1376864937008847E-4</v>
      </c>
      <c r="T75" s="22">
        <f t="shared" si="10"/>
        <v>6.4143878664580989E-2</v>
      </c>
      <c r="U75" s="23">
        <f t="shared" si="11"/>
        <v>4.1144371701364885E-3</v>
      </c>
      <c r="V75" s="24">
        <f t="shared" si="12"/>
        <v>1.9503927829212508E-3</v>
      </c>
      <c r="W75" s="25">
        <f t="shared" si="13"/>
        <v>4.4163251498516853E-2</v>
      </c>
      <c r="X75" s="25">
        <f t="shared" si="14"/>
        <v>-0.51324267427635251</v>
      </c>
      <c r="Y75" s="26">
        <f t="shared" si="28"/>
        <v>3.009265538105056E-34</v>
      </c>
      <c r="Z75" s="15">
        <f t="shared" si="15"/>
        <v>1.3868525951557116</v>
      </c>
      <c r="AA75" s="149">
        <f t="shared" si="30"/>
        <v>-0.53348828762268841</v>
      </c>
      <c r="AD75" s="2"/>
      <c r="AF75" s="2"/>
      <c r="AG75" s="2"/>
      <c r="AI75" s="122">
        <f t="shared" si="31"/>
        <v>2.2184452822153655E-2</v>
      </c>
      <c r="AJ75" s="123">
        <v>23338</v>
      </c>
      <c r="AK75" s="126">
        <v>1051998</v>
      </c>
      <c r="AL75" s="125">
        <v>290173</v>
      </c>
      <c r="AM75">
        <f t="shared" si="32"/>
        <v>0.27583037230108803</v>
      </c>
      <c r="AQ75" s="163">
        <v>-2.2666465303837924E-2</v>
      </c>
      <c r="AR75" s="164">
        <f t="shared" si="33"/>
        <v>0</v>
      </c>
      <c r="AV75" s="145"/>
      <c r="AZ75" s="145">
        <v>-2.2666465303837924E-2</v>
      </c>
      <c r="BC75">
        <f t="shared" si="34"/>
        <v>-0.1000374351321511</v>
      </c>
      <c r="BD75" s="133">
        <v>7.2</v>
      </c>
      <c r="BG75" s="122">
        <f t="shared" si="35"/>
        <v>2.2184452822153655E-2</v>
      </c>
      <c r="BH75" s="123">
        <v>23338</v>
      </c>
      <c r="BI75" s="126">
        <v>1051998</v>
      </c>
      <c r="BJ75" s="125">
        <v>290173</v>
      </c>
      <c r="BK75">
        <f t="shared" si="36"/>
        <v>0.27583037230108803</v>
      </c>
    </row>
    <row r="76" spans="1:63" thickBot="1">
      <c r="A76" s="115" t="s">
        <v>12</v>
      </c>
      <c r="B76" s="133">
        <v>7.3</v>
      </c>
      <c r="C76" s="118">
        <f t="shared" si="29"/>
        <v>0.34032923813657057</v>
      </c>
      <c r="D76" s="30"/>
      <c r="E76" s="2"/>
      <c r="F76" s="15">
        <f t="shared" si="1"/>
        <v>53.29</v>
      </c>
      <c r="G76" s="27">
        <f t="shared" si="2"/>
        <v>2.4844034383969649</v>
      </c>
      <c r="H76" s="2"/>
      <c r="K76" s="2"/>
      <c r="L76" s="17">
        <f t="shared" si="3"/>
        <v>0.83646645596965929</v>
      </c>
      <c r="M76" s="2"/>
      <c r="N76" s="18">
        <f t="shared" si="4"/>
        <v>1.7203758190979495E-3</v>
      </c>
      <c r="O76" s="19">
        <f t="shared" si="26"/>
        <v>-1.0776470588235307</v>
      </c>
      <c r="P76" s="19">
        <f t="shared" si="6"/>
        <v>1.1613231833910063</v>
      </c>
      <c r="Q76" s="20">
        <f t="shared" si="7"/>
        <v>0.2988518247758275</v>
      </c>
      <c r="R76" s="144">
        <f t="shared" si="27"/>
        <v>4.1477413360743065E-2</v>
      </c>
      <c r="S76" s="21">
        <f t="shared" si="9"/>
        <v>1.7203758190979474E-3</v>
      </c>
      <c r="T76" s="22">
        <f t="shared" si="10"/>
        <v>-8.7333947103737375E-2</v>
      </c>
      <c r="U76" s="23">
        <f t="shared" si="11"/>
        <v>7.6272183167183979E-3</v>
      </c>
      <c r="V76" s="24">
        <f t="shared" si="12"/>
        <v>1.9507917688276163E-3</v>
      </c>
      <c r="W76" s="25">
        <f t="shared" si="13"/>
        <v>4.4167768438394261E-2</v>
      </c>
      <c r="X76" s="25">
        <f t="shared" si="14"/>
        <v>0.93908781963019627</v>
      </c>
      <c r="Y76" s="26">
        <f t="shared" si="28"/>
        <v>7.7037197775489434E-34</v>
      </c>
      <c r="Z76" s="15">
        <f t="shared" si="15"/>
        <v>1.1613231833910063</v>
      </c>
      <c r="AA76" s="149">
        <f t="shared" si="30"/>
        <v>0.90977184171449521</v>
      </c>
      <c r="AD76" s="2"/>
      <c r="AF76" s="2"/>
      <c r="AG76" s="2"/>
      <c r="AI76" s="122">
        <f t="shared" si="31"/>
        <v>2.0889694678677802E-2</v>
      </c>
      <c r="AJ76" s="123">
        <v>30902</v>
      </c>
      <c r="AK76" s="126">
        <v>1479294</v>
      </c>
      <c r="AL76" s="125">
        <v>503447</v>
      </c>
      <c r="AM76">
        <f t="shared" si="32"/>
        <v>0.34032923813657057</v>
      </c>
      <c r="AQ76" s="163">
        <v>4.1477413360743065E-2</v>
      </c>
      <c r="AR76" s="164">
        <f t="shared" si="33"/>
        <v>0</v>
      </c>
      <c r="AV76" s="145"/>
      <c r="AZ76" s="145">
        <v>4.1477413360743065E-2</v>
      </c>
      <c r="BC76">
        <f t="shared" si="34"/>
        <v>-0.10196051968611045</v>
      </c>
      <c r="BD76" s="133">
        <v>7.3</v>
      </c>
      <c r="BG76" s="122">
        <f t="shared" si="35"/>
        <v>2.0889694678677802E-2</v>
      </c>
      <c r="BH76" s="123">
        <v>30902</v>
      </c>
      <c r="BI76" s="126">
        <v>1479294</v>
      </c>
      <c r="BJ76" s="125">
        <v>503447</v>
      </c>
      <c r="BK76">
        <f t="shared" si="36"/>
        <v>0.34032923813657057</v>
      </c>
    </row>
    <row r="77" spans="1:63" thickBot="1">
      <c r="A77" s="115" t="s">
        <v>76</v>
      </c>
      <c r="B77" s="133">
        <v>7.7</v>
      </c>
      <c r="C77" s="118">
        <f t="shared" si="29"/>
        <v>0.25441523971643915</v>
      </c>
      <c r="D77" s="30"/>
      <c r="E77" s="2"/>
      <c r="F77" s="15">
        <f t="shared" si="1"/>
        <v>59.290000000000006</v>
      </c>
      <c r="G77" s="27">
        <f t="shared" si="2"/>
        <v>1.9589973458165815</v>
      </c>
      <c r="H77" s="2"/>
      <c r="K77" s="2"/>
      <c r="L77" s="17">
        <f t="shared" si="3"/>
        <v>0.88230023437895566</v>
      </c>
      <c r="M77" s="2"/>
      <c r="N77" s="18">
        <f t="shared" si="4"/>
        <v>2.1028216869223774E-3</v>
      </c>
      <c r="O77" s="19">
        <f t="shared" si="26"/>
        <v>-0.67764705882353038</v>
      </c>
      <c r="P77" s="19">
        <f t="shared" si="6"/>
        <v>0.45920553633218125</v>
      </c>
      <c r="Q77" s="20">
        <f t="shared" si="7"/>
        <v>0.30027177345943346</v>
      </c>
      <c r="R77" s="144">
        <f t="shared" si="27"/>
        <v>-4.585653374299431E-2</v>
      </c>
      <c r="S77" s="21">
        <f t="shared" si="9"/>
        <v>2.1028216869223757E-3</v>
      </c>
      <c r="T77" s="22">
        <f t="shared" si="10"/>
        <v>3.8606712806888988E-2</v>
      </c>
      <c r="U77" s="23">
        <f t="shared" si="11"/>
        <v>1.4904782737536061E-3</v>
      </c>
      <c r="V77" s="24">
        <f t="shared" si="12"/>
        <v>1.9520338908355392E-3</v>
      </c>
      <c r="W77" s="25">
        <f t="shared" si="13"/>
        <v>4.418182760859423E-2</v>
      </c>
      <c r="X77" s="25">
        <f t="shared" si="14"/>
        <v>-1.0379048632672296</v>
      </c>
      <c r="Y77" s="26">
        <f t="shared" si="28"/>
        <v>4.3333423748712807E-34</v>
      </c>
      <c r="Z77" s="15">
        <f t="shared" si="15"/>
        <v>0.45920553633218125</v>
      </c>
      <c r="AA77" s="149">
        <f t="shared" si="30"/>
        <v>-1.0552730919038813</v>
      </c>
      <c r="AD77" s="2"/>
      <c r="AF77" s="2"/>
      <c r="AG77" s="2"/>
      <c r="AI77" s="122">
        <f t="shared" si="31"/>
        <v>1.7036298726912771E-2</v>
      </c>
      <c r="AJ77" s="123">
        <v>27382</v>
      </c>
      <c r="AK77" s="124">
        <v>1607274</v>
      </c>
      <c r="AL77" s="125">
        <v>408915</v>
      </c>
      <c r="AM77">
        <f t="shared" si="32"/>
        <v>0.25441523971643915</v>
      </c>
      <c r="AQ77" s="163">
        <v>-4.585653374299431E-2</v>
      </c>
      <c r="AR77" s="164">
        <f t="shared" si="33"/>
        <v>0</v>
      </c>
      <c r="AV77" s="145"/>
      <c r="AZ77" s="145">
        <v>-4.585653374299431E-2</v>
      </c>
      <c r="BC77">
        <f t="shared" si="34"/>
        <v>-0.10965285790194793</v>
      </c>
      <c r="BD77" s="133">
        <v>7.7</v>
      </c>
      <c r="BG77" s="122">
        <f t="shared" si="35"/>
        <v>1.7036298726912771E-2</v>
      </c>
      <c r="BH77" s="123">
        <v>27382</v>
      </c>
      <c r="BI77" s="124">
        <v>1607274</v>
      </c>
      <c r="BJ77" s="125">
        <v>408915</v>
      </c>
      <c r="BK77">
        <f t="shared" si="36"/>
        <v>0.25441523971643915</v>
      </c>
    </row>
    <row r="78" spans="1:63" thickBot="1">
      <c r="A78" s="115" t="s">
        <v>31</v>
      </c>
      <c r="B78" s="133">
        <v>12.2</v>
      </c>
      <c r="C78" s="118">
        <f t="shared" si="29"/>
        <v>0.30899637521389567</v>
      </c>
      <c r="D78" s="30"/>
      <c r="E78" s="2"/>
      <c r="F78" s="15">
        <f t="shared" si="1"/>
        <v>148.83999999999997</v>
      </c>
      <c r="G78" s="27">
        <f t="shared" si="2"/>
        <v>3.769755777609527</v>
      </c>
      <c r="H78" s="2"/>
      <c r="K78" s="2"/>
      <c r="L78" s="17">
        <f t="shared" si="3"/>
        <v>1.3979302414835402</v>
      </c>
      <c r="M78" s="2"/>
      <c r="N78" s="18">
        <f t="shared" si="4"/>
        <v>5.2559903605590949E-5</v>
      </c>
      <c r="O78" s="19">
        <f t="shared" si="26"/>
        <v>3.8223529411764687</v>
      </c>
      <c r="P78" s="19">
        <f t="shared" si="6"/>
        <v>14.610382006920402</v>
      </c>
      <c r="Q78" s="20">
        <f t="shared" si="7"/>
        <v>0.31624619615000099</v>
      </c>
      <c r="R78" s="144">
        <f t="shared" si="27"/>
        <v>-7.2498209361053223E-3</v>
      </c>
      <c r="S78" s="21">
        <f t="shared" si="9"/>
        <v>5.255990360559105E-5</v>
      </c>
      <c r="T78" s="22">
        <f t="shared" si="10"/>
        <v>4.8338765180150733E-2</v>
      </c>
      <c r="U78" s="23">
        <f t="shared" si="11"/>
        <v>2.3366362191417529E-3</v>
      </c>
      <c r="V78" s="24">
        <f t="shared" si="12"/>
        <v>1.9269989300910652E-3</v>
      </c>
      <c r="W78" s="25">
        <f t="shared" si="13"/>
        <v>4.3897595948879313E-2</v>
      </c>
      <c r="X78" s="25">
        <f t="shared" si="14"/>
        <v>-0.16515302898473208</v>
      </c>
      <c r="Y78" s="26">
        <f t="shared" si="28"/>
        <v>4.8148248609680896E-35</v>
      </c>
      <c r="Z78" s="15">
        <f t="shared" si="15"/>
        <v>14.610382006920402</v>
      </c>
      <c r="AA78" s="149">
        <f t="shared" si="30"/>
        <v>-0.18660829521578612</v>
      </c>
      <c r="AD78" s="2"/>
      <c r="AF78" s="2"/>
      <c r="AG78" s="2"/>
      <c r="AI78" s="122">
        <f t="shared" si="31"/>
        <v>1.9683254153805195E-2</v>
      </c>
      <c r="AJ78" s="123">
        <v>28389</v>
      </c>
      <c r="AK78" s="124">
        <v>1442292</v>
      </c>
      <c r="AL78" s="125">
        <v>445663</v>
      </c>
      <c r="AM78">
        <f t="shared" si="32"/>
        <v>0.30899637521389567</v>
      </c>
      <c r="AQ78" s="163">
        <v>-7.2498209361053223E-3</v>
      </c>
      <c r="AR78" s="164">
        <f t="shared" si="33"/>
        <v>0</v>
      </c>
      <c r="AV78" s="145"/>
      <c r="AZ78" s="145">
        <v>-7.2498209361053223E-3</v>
      </c>
      <c r="BC78">
        <f t="shared" si="34"/>
        <v>-0.1961916628301193</v>
      </c>
      <c r="BD78" s="133">
        <v>12.2</v>
      </c>
      <c r="BG78" s="122">
        <f t="shared" si="35"/>
        <v>1.9683254153805195E-2</v>
      </c>
      <c r="BH78" s="123">
        <v>28389</v>
      </c>
      <c r="BI78" s="124">
        <v>1442292</v>
      </c>
      <c r="BJ78" s="125">
        <v>445663</v>
      </c>
      <c r="BK78">
        <f t="shared" si="36"/>
        <v>0.30899637521389567</v>
      </c>
    </row>
    <row r="79" spans="1:63" thickBot="1">
      <c r="A79" s="115" t="s">
        <v>45</v>
      </c>
      <c r="B79" s="133">
        <v>6.2</v>
      </c>
      <c r="C79" s="118">
        <f t="shared" si="29"/>
        <v>0.33603591013995637</v>
      </c>
      <c r="D79" s="30"/>
      <c r="E79" s="2"/>
      <c r="F79" s="15">
        <f t="shared" si="1"/>
        <v>38.440000000000005</v>
      </c>
      <c r="G79" s="27">
        <f t="shared" si="2"/>
        <v>2.0834226428677294</v>
      </c>
      <c r="H79" s="2"/>
      <c r="K79" s="2"/>
      <c r="L79" s="17">
        <f t="shared" si="3"/>
        <v>0.71042356534409423</v>
      </c>
      <c r="M79" s="2"/>
      <c r="N79" s="18">
        <f t="shared" si="4"/>
        <v>1.6883013390902714E-3</v>
      </c>
      <c r="O79" s="19">
        <f t="shared" si="26"/>
        <v>-2.1776470588235304</v>
      </c>
      <c r="P79" s="19">
        <f t="shared" si="6"/>
        <v>4.7421467128027723</v>
      </c>
      <c r="Q79" s="20">
        <f t="shared" si="7"/>
        <v>0.29494696589591096</v>
      </c>
      <c r="R79" s="144">
        <f t="shared" si="27"/>
        <v>4.1088944244045411E-2</v>
      </c>
      <c r="S79" s="21">
        <f t="shared" si="9"/>
        <v>1.6883013390902725E-3</v>
      </c>
      <c r="T79" s="22">
        <f t="shared" si="10"/>
        <v>-8.4178927777832258E-2</v>
      </c>
      <c r="U79" s="23">
        <f t="shared" si="11"/>
        <v>7.086091881825499E-3</v>
      </c>
      <c r="V79" s="24">
        <f t="shared" si="12"/>
        <v>1.9444569049611362E-3</v>
      </c>
      <c r="W79" s="25">
        <f t="shared" si="13"/>
        <v>4.4095996473162237E-2</v>
      </c>
      <c r="X79" s="25">
        <f t="shared" si="14"/>
        <v>0.93180668383473353</v>
      </c>
      <c r="Y79" s="26">
        <f t="shared" si="28"/>
        <v>1.0833355937178202E-34</v>
      </c>
      <c r="Z79" s="15">
        <f t="shared" si="15"/>
        <v>4.7421467128027723</v>
      </c>
      <c r="AA79" s="149">
        <f t="shared" si="30"/>
        <v>0.90103114814745422</v>
      </c>
      <c r="AD79" s="2"/>
      <c r="AF79" s="2"/>
      <c r="AG79" s="2"/>
      <c r="AI79" s="122">
        <f t="shared" si="31"/>
        <v>2.0526371509030469E-2</v>
      </c>
      <c r="AJ79" s="123">
        <v>24236</v>
      </c>
      <c r="AK79" s="126">
        <v>1180725</v>
      </c>
      <c r="AL79" s="125">
        <v>396766</v>
      </c>
      <c r="AM79">
        <f t="shared" si="32"/>
        <v>0.33603591013995637</v>
      </c>
      <c r="AQ79" s="163">
        <v>4.1088944244045411E-2</v>
      </c>
      <c r="AR79" s="164">
        <f t="shared" si="33"/>
        <v>0</v>
      </c>
      <c r="AV79" s="145"/>
      <c r="AZ79" s="145">
        <v>4.1088944244045411E-2</v>
      </c>
      <c r="BC79">
        <f t="shared" si="34"/>
        <v>-8.080658959255746E-2</v>
      </c>
      <c r="BD79" s="133">
        <v>6.2</v>
      </c>
      <c r="BG79" s="122">
        <f t="shared" si="35"/>
        <v>2.0526371509030469E-2</v>
      </c>
      <c r="BH79" s="123">
        <v>24236</v>
      </c>
      <c r="BI79" s="126">
        <v>1180725</v>
      </c>
      <c r="BJ79" s="125">
        <v>396766</v>
      </c>
      <c r="BK79">
        <f t="shared" si="36"/>
        <v>0.33603591013995637</v>
      </c>
    </row>
    <row r="80" spans="1:63" thickBot="1">
      <c r="A80" s="115" t="s">
        <v>88</v>
      </c>
      <c r="B80" s="133">
        <v>13.4</v>
      </c>
      <c r="C80" s="118">
        <f t="shared" si="29"/>
        <v>0.27741605866703217</v>
      </c>
      <c r="D80" s="30"/>
      <c r="E80" s="2"/>
      <c r="F80" s="15">
        <f t="shared" si="1"/>
        <v>179.56</v>
      </c>
      <c r="G80" s="27">
        <f t="shared" si="2"/>
        <v>3.7173751861382311</v>
      </c>
      <c r="H80" s="2"/>
      <c r="K80" s="2"/>
      <c r="L80" s="17">
        <f t="shared" si="3"/>
        <v>1.5354315767114295</v>
      </c>
      <c r="M80" s="2"/>
      <c r="N80" s="18">
        <f t="shared" si="4"/>
        <v>1.8567466809420192E-3</v>
      </c>
      <c r="O80" s="19">
        <f t="shared" si="26"/>
        <v>5.0223529411764698</v>
      </c>
      <c r="P80" s="19">
        <f t="shared" si="6"/>
        <v>25.224029065743938</v>
      </c>
      <c r="Q80" s="20">
        <f t="shared" si="7"/>
        <v>0.32050604220081902</v>
      </c>
      <c r="R80" s="144">
        <f t="shared" si="27"/>
        <v>-4.3089983533786846E-2</v>
      </c>
      <c r="S80" s="21">
        <f t="shared" si="9"/>
        <v>1.8567466809420216E-3</v>
      </c>
      <c r="T80" s="22">
        <f t="shared" si="10"/>
        <v>1.7280115506995708E-3</v>
      </c>
      <c r="U80" s="23">
        <f t="shared" si="11"/>
        <v>2.9860239193511353E-6</v>
      </c>
      <c r="V80" s="24">
        <f t="shared" si="12"/>
        <v>1.9082222412393924E-3</v>
      </c>
      <c r="W80" s="25">
        <f t="shared" si="13"/>
        <v>4.3683203193440295E-2</v>
      </c>
      <c r="X80" s="25">
        <f t="shared" si="14"/>
        <v>-0.98641995970335505</v>
      </c>
      <c r="Y80" s="26">
        <f t="shared" si="28"/>
        <v>7.7037197775489434E-34</v>
      </c>
      <c r="Z80" s="15">
        <f t="shared" si="15"/>
        <v>25.224029065743938</v>
      </c>
      <c r="AA80" s="149">
        <f t="shared" si="30"/>
        <v>-0.99302472626266625</v>
      </c>
      <c r="AD80" s="2"/>
      <c r="AF80" s="2"/>
      <c r="AG80" s="2"/>
      <c r="AI80" s="122">
        <f t="shared" si="31"/>
        <v>2.0426918547779113E-2</v>
      </c>
      <c r="AJ80" s="123">
        <v>26228</v>
      </c>
      <c r="AK80" s="124">
        <v>1283992</v>
      </c>
      <c r="AL80" s="125">
        <v>356200</v>
      </c>
      <c r="AM80">
        <f t="shared" si="32"/>
        <v>0.27741605866703217</v>
      </c>
      <c r="AQ80" s="163">
        <v>-4.3089983533786846E-2</v>
      </c>
      <c r="AR80" s="164">
        <f t="shared" si="33"/>
        <v>0</v>
      </c>
      <c r="AV80" s="145"/>
      <c r="AZ80" s="145">
        <v>-4.3089983533786846E-2</v>
      </c>
      <c r="BC80">
        <f t="shared" si="34"/>
        <v>-0.21926867747763171</v>
      </c>
      <c r="BD80" s="133">
        <v>13.4</v>
      </c>
      <c r="BG80" s="122">
        <f t="shared" si="35"/>
        <v>2.0426918547779113E-2</v>
      </c>
      <c r="BH80" s="123">
        <v>26228</v>
      </c>
      <c r="BI80" s="124">
        <v>1283992</v>
      </c>
      <c r="BJ80" s="125">
        <v>356200</v>
      </c>
      <c r="BK80">
        <f t="shared" si="36"/>
        <v>0.27741605866703217</v>
      </c>
    </row>
    <row r="81" spans="1:63" thickBot="1">
      <c r="A81" s="115" t="s">
        <v>36</v>
      </c>
      <c r="B81" s="133">
        <v>9.8000000000000007</v>
      </c>
      <c r="C81" s="118">
        <f t="shared" si="29"/>
        <v>0.26636453206527771</v>
      </c>
      <c r="D81" s="30"/>
      <c r="E81" s="2"/>
      <c r="F81" s="15">
        <f t="shared" si="1"/>
        <v>96.04000000000002</v>
      </c>
      <c r="G81" s="27">
        <f t="shared" si="2"/>
        <v>2.610372414239722</v>
      </c>
      <c r="H81" s="2"/>
      <c r="K81" s="2"/>
      <c r="L81" s="17">
        <f t="shared" si="3"/>
        <v>1.122927571027762</v>
      </c>
      <c r="M81" s="2"/>
      <c r="N81" s="18">
        <f t="shared" si="4"/>
        <v>1.7108127263296962E-3</v>
      </c>
      <c r="O81" s="19">
        <f t="shared" si="26"/>
        <v>1.4223529411764702</v>
      </c>
      <c r="P81" s="19">
        <f t="shared" si="6"/>
        <v>2.0230878892733553</v>
      </c>
      <c r="Q81" s="20">
        <f t="shared" si="7"/>
        <v>0.30772650404836499</v>
      </c>
      <c r="R81" s="144">
        <f t="shared" si="27"/>
        <v>-4.1361971983087276E-2</v>
      </c>
      <c r="S81" s="21">
        <f t="shared" si="9"/>
        <v>1.7108127263296968E-3</v>
      </c>
      <c r="T81" s="22">
        <f t="shared" si="10"/>
        <v>3.8757550673100161E-2</v>
      </c>
      <c r="U81" s="23">
        <f t="shared" si="11"/>
        <v>1.5021477341779267E-3</v>
      </c>
      <c r="V81" s="24">
        <f t="shared" si="12"/>
        <v>1.9492672139167523E-3</v>
      </c>
      <c r="W81" s="25">
        <f t="shared" si="13"/>
        <v>4.4150506383469172E-2</v>
      </c>
      <c r="X81" s="25">
        <f t="shared" si="14"/>
        <v>-0.93684026234802187</v>
      </c>
      <c r="Y81" s="26">
        <f t="shared" si="28"/>
        <v>4.8148248609680896E-35</v>
      </c>
      <c r="Z81" s="15">
        <f t="shared" si="15"/>
        <v>2.0230878892733553</v>
      </c>
      <c r="AA81" s="149">
        <f t="shared" si="30"/>
        <v>-0.95414385054886364</v>
      </c>
      <c r="AD81" s="2"/>
      <c r="AF81" s="2"/>
      <c r="AG81" s="2"/>
      <c r="AI81" s="122">
        <f t="shared" si="31"/>
        <v>1.6636291307404804E-2</v>
      </c>
      <c r="AJ81" s="123">
        <v>28772</v>
      </c>
      <c r="AK81" s="126">
        <v>1729472</v>
      </c>
      <c r="AL81" s="125">
        <v>460670</v>
      </c>
      <c r="AM81">
        <f t="shared" si="32"/>
        <v>0.26636453206527771</v>
      </c>
      <c r="AQ81" s="163">
        <v>-4.1361971983087276E-2</v>
      </c>
      <c r="AR81" s="164">
        <f t="shared" si="33"/>
        <v>0</v>
      </c>
      <c r="AV81" s="145"/>
      <c r="AZ81" s="145">
        <v>-4.1361971983087276E-2</v>
      </c>
      <c r="BC81">
        <f t="shared" si="34"/>
        <v>-0.15003763353509458</v>
      </c>
      <c r="BD81" s="133">
        <v>9.8000000000000007</v>
      </c>
      <c r="BG81" s="122">
        <f t="shared" si="35"/>
        <v>1.6636291307404804E-2</v>
      </c>
      <c r="BH81" s="123">
        <v>28772</v>
      </c>
      <c r="BI81" s="126">
        <v>1729472</v>
      </c>
      <c r="BJ81" s="125">
        <v>460670</v>
      </c>
      <c r="BK81">
        <f t="shared" si="36"/>
        <v>0.26636453206527771</v>
      </c>
    </row>
    <row r="82" spans="1:63" thickBot="1">
      <c r="A82" s="115" t="s">
        <v>57</v>
      </c>
      <c r="B82" s="133">
        <v>7.5</v>
      </c>
      <c r="C82" s="118">
        <f t="shared" si="29"/>
        <v>0.29695737780764336</v>
      </c>
      <c r="D82" s="30"/>
      <c r="E82" s="2"/>
      <c r="F82" s="15">
        <f t="shared" si="1"/>
        <v>56.25</v>
      </c>
      <c r="G82" s="27">
        <f t="shared" si="2"/>
        <v>2.227180333557325</v>
      </c>
      <c r="H82" s="2"/>
      <c r="K82" s="2"/>
      <c r="L82" s="17">
        <f t="shared" si="3"/>
        <v>0.85938334517430748</v>
      </c>
      <c r="M82" s="2"/>
      <c r="N82" s="18">
        <f t="shared" si="4"/>
        <v>6.783010359914982E-6</v>
      </c>
      <c r="O82" s="19">
        <f t="shared" si="26"/>
        <v>-0.87764705882353056</v>
      </c>
      <c r="P82" s="19">
        <f t="shared" si="6"/>
        <v>0.77026435986159369</v>
      </c>
      <c r="Q82" s="20">
        <f t="shared" si="7"/>
        <v>0.29956179911763048</v>
      </c>
      <c r="R82" s="144">
        <f t="shared" si="27"/>
        <v>-2.604421309987115E-3</v>
      </c>
      <c r="S82" s="21">
        <f t="shared" si="9"/>
        <v>6.7830103599149998E-6</v>
      </c>
      <c r="T82" s="22">
        <f t="shared" si="10"/>
        <v>8.6843245166288718E-3</v>
      </c>
      <c r="U82" s="23">
        <f t="shared" si="11"/>
        <v>7.5417492310121285E-5</v>
      </c>
      <c r="V82" s="24">
        <f t="shared" si="12"/>
        <v>1.9514835941550853E-3</v>
      </c>
      <c r="W82" s="25">
        <f t="shared" si="13"/>
        <v>4.41755995336236E-2</v>
      </c>
      <c r="X82" s="25">
        <f t="shared" si="14"/>
        <v>-5.8956105575993338E-2</v>
      </c>
      <c r="Y82" s="26">
        <f t="shared" si="28"/>
        <v>1.2037062152420224E-35</v>
      </c>
      <c r="Z82" s="15">
        <f t="shared" si="15"/>
        <v>0.77026435986159369</v>
      </c>
      <c r="AA82" s="149">
        <f t="shared" si="30"/>
        <v>-8.2085148115915219E-2</v>
      </c>
      <c r="AD82" s="2"/>
      <c r="AF82" s="2"/>
      <c r="AG82" s="2"/>
      <c r="AI82" s="122">
        <f t="shared" si="31"/>
        <v>1.9252160143448851E-2</v>
      </c>
      <c r="AJ82" s="123">
        <v>65580</v>
      </c>
      <c r="AK82" s="124">
        <v>3406371</v>
      </c>
      <c r="AL82" s="125">
        <v>1011547</v>
      </c>
      <c r="AM82">
        <f t="shared" si="32"/>
        <v>0.29695737780764336</v>
      </c>
      <c r="AQ82" s="163">
        <v>-2.604421309987115E-3</v>
      </c>
      <c r="AR82" s="164">
        <f t="shared" si="33"/>
        <v>0</v>
      </c>
      <c r="AV82" s="145"/>
      <c r="AZ82" s="145">
        <v>-2.604421309987115E-3</v>
      </c>
      <c r="BC82">
        <f t="shared" si="34"/>
        <v>-0.10580668879402919</v>
      </c>
      <c r="BD82" s="133">
        <v>7.5</v>
      </c>
      <c r="BG82" s="122">
        <f t="shared" si="35"/>
        <v>1.9252160143448851E-2</v>
      </c>
      <c r="BH82" s="123">
        <v>65580</v>
      </c>
      <c r="BI82" s="124">
        <v>3406371</v>
      </c>
      <c r="BJ82" s="125">
        <v>1011547</v>
      </c>
      <c r="BK82">
        <f t="shared" si="36"/>
        <v>0.29695737780764336</v>
      </c>
    </row>
    <row r="83" spans="1:63" thickBot="1">
      <c r="A83" s="115" t="s">
        <v>81</v>
      </c>
      <c r="B83" s="133">
        <v>0.3</v>
      </c>
      <c r="C83" s="118">
        <f t="shared" si="29"/>
        <v>0.28008262601936423</v>
      </c>
      <c r="D83" s="30"/>
      <c r="E83" s="2"/>
      <c r="F83" s="15">
        <f t="shared" si="1"/>
        <v>0.09</v>
      </c>
      <c r="G83" s="27">
        <f t="shared" si="2"/>
        <v>8.402478780580927E-2</v>
      </c>
      <c r="H83" s="2"/>
      <c r="K83" s="2"/>
      <c r="L83" s="17">
        <f t="shared" si="3"/>
        <v>3.4375333806972296E-2</v>
      </c>
      <c r="M83" s="2"/>
      <c r="N83" s="18">
        <f t="shared" si="4"/>
        <v>3.6965223002132957E-5</v>
      </c>
      <c r="O83" s="19">
        <f t="shared" si="26"/>
        <v>-8.0776470588235298</v>
      </c>
      <c r="P83" s="19">
        <f t="shared" si="6"/>
        <v>65.248382006920423</v>
      </c>
      <c r="Q83" s="20">
        <f t="shared" si="7"/>
        <v>0.27400272281272248</v>
      </c>
      <c r="R83" s="144">
        <f t="shared" si="27"/>
        <v>6.0799032066417569E-3</v>
      </c>
      <c r="S83" s="21">
        <f t="shared" si="9"/>
        <v>3.696522300213272E-5</v>
      </c>
      <c r="T83" s="22">
        <f t="shared" si="10"/>
        <v>-2.879872038070902E-2</v>
      </c>
      <c r="U83" s="23">
        <f t="shared" si="11"/>
        <v>8.2936629556626504E-4</v>
      </c>
      <c r="V83" s="24">
        <f t="shared" si="12"/>
        <v>1.8374148347465192E-3</v>
      </c>
      <c r="W83" s="25">
        <f t="shared" si="13"/>
        <v>4.2865077099505128E-2</v>
      </c>
      <c r="X83" s="25">
        <f t="shared" si="14"/>
        <v>0.14183814932907116</v>
      </c>
      <c r="Y83" s="26">
        <f t="shared" si="28"/>
        <v>4.0667402561047859E-34</v>
      </c>
      <c r="Z83" s="15">
        <f t="shared" si="15"/>
        <v>65.248382006920423</v>
      </c>
      <c r="AA83" s="149">
        <f t="shared" si="30"/>
        <v>0.11331524839918901</v>
      </c>
      <c r="AD83" s="2"/>
      <c r="AF83" s="2"/>
      <c r="AG83" s="2"/>
      <c r="AI83" s="122">
        <f t="shared" si="31"/>
        <v>1.6250436462483805E-2</v>
      </c>
      <c r="AJ83" s="123">
        <v>24899</v>
      </c>
      <c r="AK83" s="124">
        <v>1532205</v>
      </c>
      <c r="AL83" s="125">
        <v>429144</v>
      </c>
      <c r="AM83">
        <f t="shared" si="32"/>
        <v>0.28008262601936423</v>
      </c>
      <c r="AQ83" s="163">
        <v>6.0799032066417569E-3</v>
      </c>
      <c r="AR83" s="164">
        <f t="shared" si="33"/>
        <v>0</v>
      </c>
      <c r="AV83" s="145"/>
      <c r="AZ83" s="145">
        <v>6.0799032066417569E-3</v>
      </c>
      <c r="BC83">
        <f t="shared" si="34"/>
        <v>3.2655399091045041E-2</v>
      </c>
      <c r="BD83" s="133">
        <v>0.3</v>
      </c>
      <c r="BG83" s="122">
        <f t="shared" si="35"/>
        <v>1.6250436462483805E-2</v>
      </c>
      <c r="BH83" s="123">
        <v>24899</v>
      </c>
      <c r="BI83" s="124">
        <v>1532205</v>
      </c>
      <c r="BJ83" s="125">
        <v>429144</v>
      </c>
      <c r="BK83">
        <f t="shared" si="36"/>
        <v>0.28008262601936423</v>
      </c>
    </row>
    <row r="84" spans="1:63" thickBot="1">
      <c r="A84" s="115" t="s">
        <v>87</v>
      </c>
      <c r="B84" s="133">
        <v>15.7</v>
      </c>
      <c r="C84" s="118">
        <f t="shared" si="29"/>
        <v>0.30595192995748621</v>
      </c>
      <c r="D84" s="30"/>
      <c r="E84" s="2"/>
      <c r="F84" s="15">
        <f t="shared" si="1"/>
        <v>246.48999999999998</v>
      </c>
      <c r="G84" s="27">
        <f t="shared" si="2"/>
        <v>4.803445300332533</v>
      </c>
      <c r="H84" s="2"/>
      <c r="K84" s="2"/>
      <c r="L84" s="17">
        <f t="shared" si="3"/>
        <v>1.7989758025648837</v>
      </c>
      <c r="M84" s="2"/>
      <c r="N84" s="18">
        <f t="shared" si="4"/>
        <v>5.1614465378869458E-4</v>
      </c>
      <c r="O84" s="19">
        <f t="shared" si="26"/>
        <v>7.3223529411764687</v>
      </c>
      <c r="P84" s="19">
        <f t="shared" si="6"/>
        <v>53.616852595155684</v>
      </c>
      <c r="Q84" s="20">
        <f t="shared" si="7"/>
        <v>0.32867074713155348</v>
      </c>
      <c r="R84" s="144">
        <f t="shared" si="27"/>
        <v>-2.2718817174067263E-2</v>
      </c>
      <c r="S84" s="21">
        <f t="shared" si="9"/>
        <v>5.161446537886936E-4</v>
      </c>
      <c r="T84" s="22">
        <f t="shared" si="10"/>
        <v>-1.023109903204128E-2</v>
      </c>
      <c r="U84" s="23">
        <f t="shared" si="11"/>
        <v>1.0467538740343601E-4</v>
      </c>
      <c r="V84" s="24">
        <f t="shared" si="12"/>
        <v>1.8579922675010991E-3</v>
      </c>
      <c r="W84" s="25">
        <f t="shared" si="13"/>
        <v>4.3104434429662795E-2</v>
      </c>
      <c r="X84" s="25">
        <f t="shared" si="14"/>
        <v>-0.52706449985185411</v>
      </c>
      <c r="Y84" s="26">
        <f t="shared" si="28"/>
        <v>4.3333423748712807E-34</v>
      </c>
      <c r="Z84" s="15">
        <f t="shared" si="15"/>
        <v>53.616852595155684</v>
      </c>
      <c r="AA84" s="149">
        <f t="shared" si="30"/>
        <v>-0.5346662233598356</v>
      </c>
      <c r="AD84" s="2"/>
      <c r="AF84" s="2"/>
      <c r="AG84" s="2"/>
      <c r="AI84" s="122">
        <f t="shared" si="31"/>
        <v>3.0748831923222628E-2</v>
      </c>
      <c r="AJ84" s="123">
        <v>1461</v>
      </c>
      <c r="AK84" s="126">
        <v>47514</v>
      </c>
      <c r="AL84" s="125">
        <v>14537</v>
      </c>
      <c r="AM84">
        <f t="shared" si="32"/>
        <v>0.30595192995748621</v>
      </c>
      <c r="AQ84" s="163">
        <v>-2.2718817174067263E-2</v>
      </c>
      <c r="AR84" s="164">
        <f t="shared" si="33"/>
        <v>0</v>
      </c>
      <c r="AV84" s="145"/>
      <c r="AZ84" s="145">
        <v>-2.2718817174067263E-2</v>
      </c>
      <c r="BC84">
        <f t="shared" si="34"/>
        <v>-0.2634996222186971</v>
      </c>
      <c r="BD84" s="133">
        <v>15.7</v>
      </c>
      <c r="BG84" s="122">
        <f t="shared" si="35"/>
        <v>3.0748831923222628E-2</v>
      </c>
      <c r="BH84" s="123">
        <v>1461</v>
      </c>
      <c r="BI84" s="126">
        <v>47514</v>
      </c>
      <c r="BJ84" s="125">
        <v>14537</v>
      </c>
      <c r="BK84">
        <f t="shared" si="36"/>
        <v>0.30595192995748621</v>
      </c>
    </row>
    <row r="85" spans="1:63" thickBot="1">
      <c r="A85" s="115" t="s">
        <v>85</v>
      </c>
      <c r="B85" s="133">
        <v>12.2</v>
      </c>
      <c r="C85" s="118">
        <f t="shared" si="29"/>
        <v>0.28329627994389245</v>
      </c>
      <c r="D85" s="30"/>
      <c r="E85" s="2"/>
      <c r="F85" s="15">
        <f t="shared" si="1"/>
        <v>148.83999999999997</v>
      </c>
      <c r="G85" s="27">
        <f t="shared" si="2"/>
        <v>3.4562146153154876</v>
      </c>
      <c r="H85" s="2"/>
      <c r="K85" s="2"/>
      <c r="L85" s="17">
        <f t="shared" si="3"/>
        <v>1.3979302414835402</v>
      </c>
      <c r="M85" s="2"/>
      <c r="N85" s="18">
        <f t="shared" si="4"/>
        <v>1.085696977989574E-3</v>
      </c>
      <c r="O85" s="19">
        <f t="shared" si="26"/>
        <v>3.8223529411764687</v>
      </c>
      <c r="P85" s="19">
        <f t="shared" si="6"/>
        <v>14.610382006920402</v>
      </c>
      <c r="Q85" s="20">
        <f t="shared" si="7"/>
        <v>0.31624619615000099</v>
      </c>
      <c r="R85" s="144">
        <f t="shared" si="27"/>
        <v>-3.2949916206108543E-2</v>
      </c>
      <c r="S85" s="21">
        <f t="shared" si="9"/>
        <v>1.0856969779895745E-3</v>
      </c>
      <c r="T85" s="22">
        <f t="shared" si="10"/>
        <v>4.2726353132516548E-2</v>
      </c>
      <c r="U85" s="23">
        <f t="shared" si="11"/>
        <v>1.8255412520045066E-3</v>
      </c>
      <c r="V85" s="24">
        <f t="shared" si="12"/>
        <v>1.9269989300910652E-3</v>
      </c>
      <c r="W85" s="25">
        <f t="shared" si="13"/>
        <v>4.3897595948879313E-2</v>
      </c>
      <c r="X85" s="25">
        <f t="shared" si="14"/>
        <v>-0.75060867215781413</v>
      </c>
      <c r="Y85" s="26">
        <f t="shared" si="28"/>
        <v>4.8148248609680896E-35</v>
      </c>
      <c r="Z85" s="15">
        <f t="shared" si="15"/>
        <v>14.610382006920402</v>
      </c>
      <c r="AA85" s="149">
        <f t="shared" si="30"/>
        <v>-0.76486959770612373</v>
      </c>
      <c r="AD85" s="2"/>
      <c r="AF85" s="2"/>
      <c r="AG85" s="2"/>
      <c r="AI85" s="122">
        <f t="shared" si="31"/>
        <v>1.9227387990013167E-2</v>
      </c>
      <c r="AJ85" s="123">
        <v>9842</v>
      </c>
      <c r="AK85" s="126">
        <v>511874</v>
      </c>
      <c r="AL85" s="125">
        <v>145012</v>
      </c>
      <c r="AM85">
        <f t="shared" si="32"/>
        <v>0.28329627994389245</v>
      </c>
      <c r="AQ85" s="163">
        <v>-3.2949916206108543E-2</v>
      </c>
      <c r="AR85" s="164">
        <f t="shared" si="33"/>
        <v>0</v>
      </c>
      <c r="AV85" s="145"/>
      <c r="AZ85" s="145">
        <v>-3.2949916206108543E-2</v>
      </c>
      <c r="BC85">
        <f t="shared" si="34"/>
        <v>-0.1961916628301193</v>
      </c>
      <c r="BD85" s="133">
        <v>12.2</v>
      </c>
      <c r="BG85" s="122">
        <f t="shared" si="35"/>
        <v>1.9227387990013167E-2</v>
      </c>
      <c r="BH85" s="123">
        <v>9842</v>
      </c>
      <c r="BI85" s="126">
        <v>511874</v>
      </c>
      <c r="BJ85" s="125">
        <v>145012</v>
      </c>
      <c r="BK85">
        <f t="shared" si="36"/>
        <v>0.28329627994389245</v>
      </c>
    </row>
    <row r="86" spans="1:63" thickBot="1">
      <c r="A86" s="115" t="s">
        <v>63</v>
      </c>
      <c r="B86" s="133">
        <v>11.2</v>
      </c>
      <c r="C86" s="118">
        <f t="shared" si="29"/>
        <v>0.322472761367394</v>
      </c>
      <c r="D86" s="30"/>
      <c r="E86" s="2"/>
      <c r="F86" s="15">
        <f t="shared" si="1"/>
        <v>125.43999999999998</v>
      </c>
      <c r="G86" s="27">
        <f t="shared" si="2"/>
        <v>3.6116949273148125</v>
      </c>
      <c r="H86" s="2"/>
      <c r="K86" s="2"/>
      <c r="L86" s="17">
        <f t="shared" si="3"/>
        <v>1.2833457954602991</v>
      </c>
      <c r="M86" s="2"/>
      <c r="N86" s="18">
        <f t="shared" si="4"/>
        <v>9.5578718976034279E-5</v>
      </c>
      <c r="O86" s="19">
        <f t="shared" si="26"/>
        <v>2.8223529411764687</v>
      </c>
      <c r="P86" s="19">
        <f t="shared" si="6"/>
        <v>7.9656761245674632</v>
      </c>
      <c r="Q86" s="20">
        <f t="shared" si="7"/>
        <v>0.312696324440986</v>
      </c>
      <c r="R86" s="144">
        <f t="shared" si="27"/>
        <v>9.7764369264080053E-3</v>
      </c>
      <c r="S86" s="21">
        <f t="shared" si="9"/>
        <v>9.5578718976034008E-5</v>
      </c>
      <c r="T86" s="22">
        <f>T87-R86</f>
        <v>-9.7764369264080053E-3</v>
      </c>
      <c r="U86" s="23">
        <f t="shared" si="11"/>
        <v>9.5578718976034008E-5</v>
      </c>
      <c r="V86" s="24">
        <f t="shared" si="12"/>
        <v>1.9387541330078703E-3</v>
      </c>
      <c r="W86" s="25">
        <f t="shared" si="13"/>
        <v>4.4031285843225958E-2</v>
      </c>
      <c r="X86" s="25">
        <f t="shared" si="14"/>
        <v>0.2220338729424608</v>
      </c>
      <c r="Y86" s="26">
        <f t="shared" si="28"/>
        <v>1.9259299443872359E-34</v>
      </c>
      <c r="Z86" s="15">
        <f t="shared" si="15"/>
        <v>7.9656761245674632</v>
      </c>
      <c r="AA86" s="149">
        <f t="shared" si="30"/>
        <v>0.19648857445243581</v>
      </c>
      <c r="AD86" s="2"/>
      <c r="AF86" s="2"/>
      <c r="AG86" s="2"/>
      <c r="AI86" s="122">
        <f t="shared" si="31"/>
        <v>2.2313285085828378E-2</v>
      </c>
      <c r="AJ86" s="123">
        <v>26654</v>
      </c>
      <c r="AK86" s="126">
        <v>1194535</v>
      </c>
      <c r="AL86" s="125">
        <v>385205</v>
      </c>
      <c r="AM86">
        <f t="shared" si="32"/>
        <v>0.322472761367394</v>
      </c>
      <c r="AQ86" s="163">
        <v>9.7764369264080053E-3</v>
      </c>
      <c r="AR86" s="164">
        <f t="shared" si="33"/>
        <v>0</v>
      </c>
      <c r="AV86" s="145"/>
      <c r="AZ86" s="145">
        <v>9.7764369264080053E-3</v>
      </c>
      <c r="BC86">
        <f t="shared" si="34"/>
        <v>-0.17696081729052565</v>
      </c>
      <c r="BD86" s="133">
        <v>11.2</v>
      </c>
      <c r="BG86" s="122">
        <f t="shared" si="35"/>
        <v>2.2313285085828378E-2</v>
      </c>
      <c r="BH86" s="123">
        <v>26654</v>
      </c>
      <c r="BI86" s="126">
        <v>1194535</v>
      </c>
      <c r="BJ86" s="125">
        <v>385205</v>
      </c>
      <c r="BK86">
        <f t="shared" si="36"/>
        <v>0.322472761367394</v>
      </c>
    </row>
    <row r="87" spans="1:63" ht="15">
      <c r="A87" s="31"/>
      <c r="B87" s="32"/>
      <c r="C87" s="32"/>
      <c r="D87" s="33"/>
      <c r="E87" s="2"/>
      <c r="F87" s="34"/>
      <c r="G87" s="2"/>
      <c r="H87" s="2"/>
      <c r="I87" s="2"/>
      <c r="J87" s="2"/>
      <c r="K87" s="2"/>
      <c r="L87" s="2"/>
      <c r="M87" s="2"/>
      <c r="N87" s="2"/>
      <c r="O87" s="34"/>
      <c r="P87" s="34"/>
      <c r="Q87" s="2"/>
      <c r="R87" s="2"/>
      <c r="S87" s="2"/>
      <c r="T87" s="35"/>
      <c r="U87" s="2"/>
      <c r="V87" s="2"/>
      <c r="W87" s="2"/>
      <c r="X87" s="34"/>
      <c r="Y87" s="2"/>
      <c r="Z87" s="2"/>
      <c r="AA87" s="33"/>
      <c r="AB87" s="2"/>
      <c r="AC87" s="2"/>
      <c r="AD87" s="2"/>
      <c r="AE87" s="36"/>
      <c r="AF87" s="2"/>
      <c r="AG87" s="2"/>
      <c r="AH87" s="34"/>
      <c r="AI87" s="2"/>
      <c r="AJ87" s="2"/>
      <c r="AK87" s="2"/>
    </row>
    <row r="88" spans="1:63" ht="15">
      <c r="A88" s="5" t="s">
        <v>112</v>
      </c>
      <c r="B88" s="19">
        <f>MIN(B2:B86)</f>
        <v>0.3</v>
      </c>
      <c r="C88" s="19">
        <f>MIN(C3:C86)</f>
        <v>0.20395862693778941</v>
      </c>
      <c r="D88" s="2"/>
      <c r="E88" s="2"/>
      <c r="F88" s="205" t="s">
        <v>213</v>
      </c>
      <c r="G88" s="207">
        <v>1</v>
      </c>
      <c r="H88" s="208"/>
      <c r="I88" s="207">
        <v>2</v>
      </c>
      <c r="J88" s="208"/>
      <c r="K88" s="207">
        <v>3</v>
      </c>
      <c r="L88" s="208"/>
      <c r="M88" s="207">
        <v>4</v>
      </c>
      <c r="N88" s="208"/>
      <c r="O88" s="207">
        <v>5</v>
      </c>
      <c r="P88" s="208"/>
      <c r="Q88" s="207">
        <v>6</v>
      </c>
      <c r="R88" s="208"/>
      <c r="S88" s="207">
        <v>7</v>
      </c>
      <c r="T88" s="208"/>
      <c r="U88" s="176"/>
      <c r="V88" s="175"/>
      <c r="W88" s="2"/>
      <c r="X88" s="2"/>
      <c r="Y88" s="2"/>
      <c r="Z88" s="2"/>
      <c r="AA88" s="2"/>
      <c r="AB88" s="37" t="s">
        <v>113</v>
      </c>
      <c r="AC88" s="38" t="e">
        <f>MAX(#REF!,X2:X86)</f>
        <v>#REF!</v>
      </c>
      <c r="AD88" s="39" t="s">
        <v>114</v>
      </c>
      <c r="AE88" s="36"/>
      <c r="AF88" s="2"/>
      <c r="AG88" s="2"/>
      <c r="AH88" s="34"/>
      <c r="AI88" s="2"/>
      <c r="AJ88" s="2"/>
      <c r="AK88" s="2"/>
    </row>
    <row r="89" spans="1:63" ht="15">
      <c r="A89" s="5" t="s">
        <v>115</v>
      </c>
      <c r="B89" s="19">
        <f>MAX(B2:B86)</f>
        <v>17.600000000000001</v>
      </c>
      <c r="C89" s="19">
        <f>MAX(C3:C86)</f>
        <v>0.4774789446745149</v>
      </c>
      <c r="D89" s="2"/>
      <c r="E89" s="2"/>
      <c r="F89" s="206"/>
      <c r="G89" s="40">
        <v>6.4389393939393899E-2</v>
      </c>
      <c r="H89" s="40">
        <f>G89+B93</f>
        <v>2.5358179653679653</v>
      </c>
      <c r="I89" s="41">
        <f>H89</f>
        <v>2.5358179653679653</v>
      </c>
      <c r="J89" s="41">
        <f>I89+B93</f>
        <v>5.0072465367965364</v>
      </c>
      <c r="K89" s="41">
        <f>J89</f>
        <v>5.0072465367965364</v>
      </c>
      <c r="L89" s="41">
        <f>K89+B93</f>
        <v>7.4786751082251079</v>
      </c>
      <c r="M89" s="41">
        <f>L89</f>
        <v>7.4786751082251079</v>
      </c>
      <c r="N89" s="41">
        <f>M89+B93</f>
        <v>9.9501036796536795</v>
      </c>
      <c r="O89" s="41">
        <f>N89</f>
        <v>9.9501036796536795</v>
      </c>
      <c r="P89" s="42">
        <f>O89+B93</f>
        <v>12.421532251082251</v>
      </c>
      <c r="Q89" s="43">
        <f>P89</f>
        <v>12.421532251082251</v>
      </c>
      <c r="R89" s="42">
        <f>Q89+B93</f>
        <v>14.892960822510823</v>
      </c>
      <c r="S89" s="43">
        <f>R89</f>
        <v>14.892960822510823</v>
      </c>
      <c r="T89" s="43">
        <f>S89+B93</f>
        <v>17.364389393939394</v>
      </c>
      <c r="U89" s="2"/>
      <c r="V89" s="2"/>
      <c r="W89" s="2"/>
      <c r="X89" s="2"/>
      <c r="Y89" s="2"/>
      <c r="Z89" s="2"/>
      <c r="AA89" s="2"/>
      <c r="AB89" s="2"/>
      <c r="AC89" s="44" t="e">
        <f>MAX(#REF!,AC2:AC87)</f>
        <v>#REF!</v>
      </c>
      <c r="AD89" s="39" t="s">
        <v>114</v>
      </c>
      <c r="AE89" s="36"/>
      <c r="AF89" s="2"/>
      <c r="AG89" s="2"/>
      <c r="AH89" s="34"/>
      <c r="AI89" s="2"/>
      <c r="AJ89" s="2"/>
      <c r="AK89" s="2"/>
    </row>
    <row r="90" spans="1:63" ht="15">
      <c r="A90" s="5" t="s">
        <v>116</v>
      </c>
      <c r="B90" s="18">
        <f>VARP(B2:B86)</f>
        <v>13.143043875432497</v>
      </c>
      <c r="C90" s="18">
        <f>VARP(C3:C86)</f>
        <v>2.0673115095551759E-3</v>
      </c>
      <c r="D90" s="2"/>
      <c r="F90" s="45" t="s">
        <v>117</v>
      </c>
      <c r="G90" s="187">
        <f>_xlfn.NORM.DIST(H89,$B$91,$B$92,1)-_xlfn.NORM.DIST(G89,$B$91,$B$92,1)</f>
        <v>4.2626206751045503E-2</v>
      </c>
      <c r="H90" s="167"/>
      <c r="I90" s="209">
        <f>_xlfn.NORM.DIST(J89,$B$91,$B$92,1)-_xlfn.NORM.DIST(I89,$B$91,$B$92,1)</f>
        <v>0.12272108046490779</v>
      </c>
      <c r="J90" s="210"/>
      <c r="K90" s="211">
        <f>_xlfn.NORM.DIST(L89,$B$91,$B$92,1)-_xlfn.NORM.DIST(K89,$B$91,$B$92,1)</f>
        <v>0.22581065500467193</v>
      </c>
      <c r="L90" s="210"/>
      <c r="M90" s="211">
        <f>_xlfn.NORM.DIST(N89,$B$91,$B$92,1)-_xlfn.NORM.DIST(M89,$B$91,$B$92,1)</f>
        <v>0.26568278848166083</v>
      </c>
      <c r="N90" s="210"/>
      <c r="O90" s="211">
        <f>_xlfn.NORM.DIST(P89,$B$91,$B$92,1)-_xlfn.NORM.DIST(O89,$B$91,$B$92,1)</f>
        <v>0.19990977102186114</v>
      </c>
      <c r="P90" s="210"/>
      <c r="Q90" s="211">
        <f>_xlfn.NORM.DIST(R89,$B$91,$B$92,1)-_xlfn.NORM.DIST(Q89,$B$91,$B$92,1)</f>
        <v>9.6173504668129906E-2</v>
      </c>
      <c r="R90" s="210"/>
      <c r="S90" s="211">
        <f>_xlfn.NORM.DIST(T89,$B$91,$B$92,1)-_xlfn.NORM.DIST(S89,$B$91,$B$92,1)</f>
        <v>2.9565002504469584E-2</v>
      </c>
      <c r="T90" s="210"/>
      <c r="U90" s="176"/>
      <c r="V90" s="175"/>
      <c r="W90" s="2"/>
      <c r="X90" s="2"/>
      <c r="Y90" s="2"/>
      <c r="Z90" s="2"/>
      <c r="AA90" s="2"/>
      <c r="AB90" s="2"/>
      <c r="AC90" s="44" t="e">
        <f>MAX(#REF!,AC2:AC87)</f>
        <v>#REF!</v>
      </c>
      <c r="AD90" s="39" t="s">
        <v>118</v>
      </c>
      <c r="AE90" s="36"/>
      <c r="AF90" s="2"/>
      <c r="AG90" s="2"/>
      <c r="AH90" s="34"/>
      <c r="AI90" s="2"/>
      <c r="AJ90" s="2"/>
      <c r="AK90" s="2"/>
    </row>
    <row r="91" spans="1:63" ht="15">
      <c r="A91" s="5" t="s">
        <v>119</v>
      </c>
      <c r="B91" s="19">
        <f>AVERAGE(B2:B86)</f>
        <v>8.3776470588235306</v>
      </c>
      <c r="C91" s="19">
        <f>AVERAGE(C3:C86)</f>
        <v>0.30267733358224835</v>
      </c>
      <c r="D91" s="2"/>
      <c r="E91" s="2"/>
      <c r="F91" s="45" t="s">
        <v>120</v>
      </c>
      <c r="G91" s="187">
        <v>66</v>
      </c>
      <c r="H91" s="167"/>
      <c r="I91" s="197">
        <v>15</v>
      </c>
      <c r="J91" s="167"/>
      <c r="K91" s="187">
        <v>1</v>
      </c>
      <c r="L91" s="167"/>
      <c r="M91" s="187">
        <v>0</v>
      </c>
      <c r="N91" s="167"/>
      <c r="O91" s="187">
        <v>1</v>
      </c>
      <c r="P91" s="167"/>
      <c r="Q91" s="187">
        <v>1</v>
      </c>
      <c r="R91" s="167"/>
      <c r="S91" s="187">
        <v>1</v>
      </c>
      <c r="T91" s="167"/>
      <c r="U91" s="200">
        <f>SUM(G91:T91)</f>
        <v>85</v>
      </c>
      <c r="V91" s="175"/>
      <c r="W91" s="2"/>
      <c r="X91" s="2"/>
      <c r="Y91" s="2"/>
      <c r="Z91" s="2"/>
      <c r="AA91" s="2"/>
      <c r="AB91" s="37" t="s">
        <v>121</v>
      </c>
      <c r="AC91" s="44">
        <f>MAX(AC2:AC87)</f>
        <v>0.27489999999999998</v>
      </c>
      <c r="AD91" s="39" t="s">
        <v>114</v>
      </c>
      <c r="AE91" s="36"/>
      <c r="AF91" s="2"/>
      <c r="AG91" s="2"/>
      <c r="AH91" s="34"/>
      <c r="AI91" s="2"/>
      <c r="AJ91" s="2"/>
      <c r="AK91" s="2"/>
    </row>
    <row r="92" spans="1:63" ht="15">
      <c r="A92" s="5" t="s">
        <v>122</v>
      </c>
      <c r="B92" s="18">
        <f t="shared" ref="B92:C92" si="37">SQRT(B90)</f>
        <v>3.6253336226384043</v>
      </c>
      <c r="C92" s="18">
        <f t="shared" si="37"/>
        <v>4.5467697429660718E-2</v>
      </c>
      <c r="D92" s="2"/>
      <c r="E92" s="2"/>
      <c r="F92" s="45" t="s">
        <v>123</v>
      </c>
      <c r="G92" s="187">
        <f>G91*G90</f>
        <v>2.8133296455690031</v>
      </c>
      <c r="H92" s="167"/>
      <c r="I92" s="187">
        <f t="shared" ref="I92" si="38">I91*I90</f>
        <v>1.8408162069736169</v>
      </c>
      <c r="J92" s="167"/>
      <c r="K92" s="187">
        <f t="shared" ref="K92" si="39">K91*K90</f>
        <v>0.22581065500467193</v>
      </c>
      <c r="L92" s="167"/>
      <c r="M92" s="187">
        <f t="shared" ref="M92" si="40">M91*M90</f>
        <v>0</v>
      </c>
      <c r="N92" s="167"/>
      <c r="O92" s="187">
        <f t="shared" ref="O92" si="41">O91*O90</f>
        <v>0.19990977102186114</v>
      </c>
      <c r="P92" s="167"/>
      <c r="Q92" s="187">
        <f t="shared" ref="Q92" si="42">Q91*Q90</f>
        <v>9.6173504668129906E-2</v>
      </c>
      <c r="R92" s="167"/>
      <c r="S92" s="187">
        <f t="shared" ref="S92" si="43">S91*S90</f>
        <v>2.9565002504469584E-2</v>
      </c>
      <c r="T92" s="167"/>
      <c r="U92" s="176"/>
      <c r="V92" s="175"/>
      <c r="W92" s="2"/>
      <c r="X92" s="2"/>
      <c r="Y92" s="2"/>
      <c r="Z92" s="2"/>
      <c r="AA92" s="2"/>
      <c r="AB92" s="2"/>
      <c r="AC92" s="2"/>
      <c r="AD92" s="2"/>
      <c r="AE92" s="36"/>
      <c r="AF92" s="2"/>
      <c r="AG92" s="2"/>
      <c r="AH92" s="34"/>
      <c r="AI92" s="2"/>
      <c r="AJ92" s="2"/>
      <c r="AK92" s="2"/>
    </row>
    <row r="93" spans="1:63" ht="15">
      <c r="A93" s="5" t="s">
        <v>124</v>
      </c>
      <c r="B93" s="18">
        <f t="shared" ref="B93:C93" si="44">(B89-B88)/7</f>
        <v>2.4714285714285715</v>
      </c>
      <c r="C93" s="18">
        <f t="shared" si="44"/>
        <v>3.9074331105246496E-2</v>
      </c>
      <c r="D93" s="2"/>
      <c r="E93" s="2"/>
      <c r="F93" s="137" t="s">
        <v>212</v>
      </c>
      <c r="G93" s="187">
        <f>(G91-G92)^2</f>
        <v>3992.5553104795285</v>
      </c>
      <c r="H93" s="167"/>
      <c r="I93" s="187">
        <f t="shared" ref="I93" si="45">(I91-I92)^2</f>
        <v>173.16411809864823</v>
      </c>
      <c r="J93" s="167"/>
      <c r="K93" s="187">
        <f t="shared" ref="K93" si="46">(K91-K92)^2</f>
        <v>0.59936914190429513</v>
      </c>
      <c r="L93" s="167"/>
      <c r="M93" s="187">
        <f t="shared" ref="M93" si="47">(M91-M92)^2</f>
        <v>0</v>
      </c>
      <c r="N93" s="167"/>
      <c r="O93" s="187">
        <f t="shared" ref="O93" si="48">(O91-O92)^2</f>
        <v>0.64014437450629069</v>
      </c>
      <c r="P93" s="167"/>
      <c r="Q93" s="187">
        <f t="shared" ref="Q93" si="49">(Q91-Q92)^2</f>
        <v>0.81690233366389098</v>
      </c>
      <c r="R93" s="167"/>
      <c r="S93" s="187">
        <f t="shared" ref="S93" si="50">(S91-S92)^2</f>
        <v>0.94174408436415014</v>
      </c>
      <c r="T93" s="167"/>
      <c r="U93" s="176"/>
      <c r="V93" s="175"/>
      <c r="W93" s="2"/>
      <c r="X93" s="2"/>
      <c r="Y93" s="2"/>
      <c r="Z93" s="2"/>
      <c r="AA93" s="2"/>
      <c r="AB93" s="2"/>
      <c r="AC93" s="2"/>
      <c r="AD93" s="2"/>
      <c r="AE93" s="36"/>
      <c r="AF93" s="2"/>
      <c r="AG93" s="2"/>
      <c r="AH93" s="34"/>
      <c r="AI93" s="2"/>
      <c r="AJ93" s="2"/>
      <c r="AK93" s="2"/>
    </row>
    <row r="94" spans="1:63" ht="15">
      <c r="A94" s="5" t="s">
        <v>125</v>
      </c>
      <c r="B94" s="191">
        <f>3.3*LOG10(85)+1</f>
        <v>7.3670824548571652</v>
      </c>
      <c r="C94" s="192"/>
      <c r="D94" s="2"/>
      <c r="E94" s="2"/>
      <c r="F94" s="2"/>
      <c r="G94" s="187">
        <f>G93/G92</f>
        <v>1419.1565914672697</v>
      </c>
      <c r="H94" s="167"/>
      <c r="I94" s="197">
        <f>I93/I92</f>
        <v>94.069205520163081</v>
      </c>
      <c r="J94" s="167"/>
      <c r="K94" s="187">
        <f>K93/K92</f>
        <v>2.6542996471618863</v>
      </c>
      <c r="L94" s="167"/>
      <c r="M94" s="187">
        <v>0</v>
      </c>
      <c r="N94" s="167"/>
      <c r="O94" s="187">
        <f>O93/O92</f>
        <v>3.2021665135932134</v>
      </c>
      <c r="P94" s="167"/>
      <c r="Q94" s="187">
        <f>Q93/Q92</f>
        <v>8.4940476743861151</v>
      </c>
      <c r="R94" s="167"/>
      <c r="S94" s="187">
        <f>S93/S92</f>
        <v>31.853340253286937</v>
      </c>
      <c r="T94" s="167"/>
      <c r="U94" s="176"/>
      <c r="V94" s="175"/>
      <c r="W94" s="2"/>
      <c r="X94" s="2"/>
      <c r="Y94" s="2"/>
      <c r="Z94" s="2"/>
      <c r="AA94" s="2"/>
      <c r="AB94" s="2"/>
      <c r="AC94" s="2"/>
      <c r="AD94" s="2"/>
      <c r="AE94" s="36"/>
      <c r="AF94" s="2"/>
      <c r="AG94" s="2"/>
      <c r="AH94" s="34"/>
      <c r="AI94" s="2"/>
      <c r="AJ94" s="2"/>
      <c r="AK94" s="2"/>
    </row>
    <row r="95" spans="1:63" ht="15">
      <c r="A95" s="5" t="s">
        <v>210</v>
      </c>
      <c r="B95" s="193">
        <f t="shared" ref="B95" si="51">_xlfn.CHISQ.INV(0.05,85)</f>
        <v>64.74939583071999</v>
      </c>
      <c r="C95" s="194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  <c r="AC95" s="2"/>
      <c r="AD95" s="2"/>
      <c r="AE95" s="36"/>
      <c r="AF95" s="2"/>
      <c r="AG95" s="2"/>
      <c r="AH95" s="34"/>
      <c r="AI95" s="2"/>
      <c r="AJ95" s="2"/>
      <c r="AK95" s="2"/>
    </row>
    <row r="96" spans="1:63" ht="15">
      <c r="A96" s="5" t="s">
        <v>126</v>
      </c>
      <c r="B96" s="18">
        <f>SUM(G94:T94)</f>
        <v>1559.4296510758609</v>
      </c>
      <c r="C96" s="18">
        <f>SUM(G102:T102)</f>
        <v>274234223.65237039</v>
      </c>
      <c r="D96" s="2"/>
      <c r="E96" s="2"/>
      <c r="F96" s="2"/>
      <c r="G96" s="188">
        <v>1</v>
      </c>
      <c r="H96" s="167"/>
      <c r="I96" s="188">
        <v>2</v>
      </c>
      <c r="J96" s="167"/>
      <c r="K96" s="188">
        <v>3</v>
      </c>
      <c r="L96" s="167"/>
      <c r="M96" s="188">
        <v>4</v>
      </c>
      <c r="N96" s="167"/>
      <c r="O96" s="188">
        <v>5</v>
      </c>
      <c r="P96" s="167"/>
      <c r="Q96" s="188">
        <v>6</v>
      </c>
      <c r="R96" s="167"/>
      <c r="S96" s="188">
        <v>7</v>
      </c>
      <c r="T96" s="167"/>
      <c r="U96" s="176"/>
      <c r="V96" s="175"/>
      <c r="W96" s="2"/>
      <c r="X96" s="2"/>
      <c r="Y96" s="2"/>
      <c r="Z96" s="2"/>
      <c r="AA96" s="2"/>
      <c r="AB96" s="2"/>
      <c r="AC96" s="2"/>
      <c r="AD96" s="2"/>
      <c r="AE96" s="36"/>
      <c r="AF96" s="2"/>
      <c r="AG96" s="2"/>
      <c r="AH96" s="34"/>
      <c r="AI96" s="2"/>
      <c r="AJ96" s="2"/>
      <c r="AK96" s="2"/>
    </row>
    <row r="97" spans="1:37" ht="15">
      <c r="A97" s="195" t="s">
        <v>211</v>
      </c>
      <c r="B97" s="196"/>
      <c r="C97" s="173"/>
      <c r="D97" s="2"/>
      <c r="E97" s="2"/>
      <c r="F97" s="2"/>
      <c r="G97" s="46">
        <v>0.02</v>
      </c>
      <c r="H97" s="46">
        <f>G97+C93</f>
        <v>5.90743311052465E-2</v>
      </c>
      <c r="I97" s="47">
        <f>H97</f>
        <v>5.90743311052465E-2</v>
      </c>
      <c r="J97" s="47">
        <f>I97+C93</f>
        <v>9.8148662210492996E-2</v>
      </c>
      <c r="K97" s="47">
        <f>J97</f>
        <v>9.8148662210492996E-2</v>
      </c>
      <c r="L97" s="47">
        <f>K97+C93</f>
        <v>0.13722299331573951</v>
      </c>
      <c r="M97" s="47">
        <f>L97</f>
        <v>0.13722299331573951</v>
      </c>
      <c r="N97" s="47">
        <f>M97+C93</f>
        <v>0.176297324420986</v>
      </c>
      <c r="O97" s="47">
        <f>N97</f>
        <v>0.176297324420986</v>
      </c>
      <c r="P97" s="47">
        <f>O97+C93</f>
        <v>0.2153716555262325</v>
      </c>
      <c r="Q97" s="47">
        <f>P97</f>
        <v>0.2153716555262325</v>
      </c>
      <c r="R97" s="47">
        <f>Q97+C93</f>
        <v>0.25444598663147899</v>
      </c>
      <c r="S97" s="47">
        <f>R97</f>
        <v>0.25444598663147899</v>
      </c>
      <c r="T97" s="47">
        <f>S97+C93</f>
        <v>0.29352031773672549</v>
      </c>
      <c r="U97" s="34"/>
      <c r="V97" s="34"/>
      <c r="W97" s="2"/>
      <c r="X97" s="2"/>
      <c r="Y97" s="2"/>
      <c r="Z97" s="2"/>
      <c r="AA97" s="2"/>
      <c r="AB97" s="2"/>
      <c r="AC97" s="2"/>
      <c r="AD97" s="2"/>
      <c r="AE97" s="36"/>
      <c r="AF97" s="2"/>
      <c r="AG97" s="2"/>
      <c r="AH97" s="34"/>
      <c r="AI97" s="2"/>
      <c r="AJ97" s="2"/>
      <c r="AK97" s="2"/>
    </row>
    <row r="98" spans="1:37" ht="15">
      <c r="A98" s="2"/>
      <c r="B98" s="2"/>
      <c r="C98" s="2"/>
      <c r="D98" s="2"/>
      <c r="E98" s="2"/>
      <c r="F98" s="48" t="s">
        <v>120</v>
      </c>
      <c r="G98" s="180">
        <v>11</v>
      </c>
      <c r="H98" s="167"/>
      <c r="I98" s="190">
        <v>39</v>
      </c>
      <c r="J98" s="167"/>
      <c r="K98" s="180">
        <v>12</v>
      </c>
      <c r="L98" s="167"/>
      <c r="M98" s="180">
        <v>8</v>
      </c>
      <c r="N98" s="167"/>
      <c r="O98" s="180">
        <v>7</v>
      </c>
      <c r="P98" s="167"/>
      <c r="Q98" s="180">
        <v>4</v>
      </c>
      <c r="R98" s="167"/>
      <c r="S98" s="180">
        <v>4</v>
      </c>
      <c r="T98" s="167"/>
      <c r="U98" s="200">
        <f>SUM(G98:T98)</f>
        <v>85</v>
      </c>
      <c r="V98" s="175"/>
      <c r="W98" s="2"/>
      <c r="X98" s="2"/>
      <c r="Y98" s="2"/>
      <c r="Z98" s="2"/>
      <c r="AA98" s="2"/>
      <c r="AB98" s="2"/>
      <c r="AC98" s="2"/>
      <c r="AD98" s="2"/>
      <c r="AE98" s="2"/>
      <c r="AF98" s="2"/>
      <c r="AG98" s="2"/>
      <c r="AH98" s="2"/>
      <c r="AI98" s="2"/>
      <c r="AJ98" s="2"/>
      <c r="AK98" s="2"/>
    </row>
    <row r="99" spans="1:37" ht="15">
      <c r="A99" s="37" t="s">
        <v>127</v>
      </c>
      <c r="B99" s="49">
        <f t="shared" ref="B99:C99" si="52">SUM(B2:B87)</f>
        <v>712.10000000000014</v>
      </c>
      <c r="C99" s="49">
        <f t="shared" si="52"/>
        <v>25.787921878491545</v>
      </c>
      <c r="D99" s="2"/>
      <c r="E99" s="2"/>
      <c r="F99" s="48" t="s">
        <v>117</v>
      </c>
      <c r="G99" s="198">
        <f>_xlfn.NORM.DIST(H97,$C$91,$C$92,1)-_xlfn.NORM.DIST(G97,$C$91,$C$92,1)</f>
        <v>4.1887119126418031E-8</v>
      </c>
      <c r="H99" s="199"/>
      <c r="I99" s="202">
        <f>_xlfn.NORM.DIST(J97,$C$91,$C$92,1)-_xlfn.NORM.DIST(I97,$C$91,$C$92,1)</f>
        <v>3.3823389347319777E-6</v>
      </c>
      <c r="J99" s="167"/>
      <c r="K99" s="203">
        <f>_xlfn.NORM.DIST(L97,$C$91,$C$92,1)-_xlfn.NORM.DIST(K97,$C$91,$C$92,1)</f>
        <v>1.3345543262091746E-4</v>
      </c>
      <c r="L99" s="167"/>
      <c r="M99" s="204">
        <f>_xlfn.NORM.DIST(N97,$C$91,$C$92,1)-_xlfn.NORM.DIST(M97,$C$91,$C$92,1)</f>
        <v>2.5847838222414561E-3</v>
      </c>
      <c r="N99" s="167"/>
      <c r="O99" s="189">
        <f>_xlfn.NORM.DIST(P97,$C$91,$C$92,1)-_xlfn.NORM.DIST(O97,$C$91,$C$92,1)</f>
        <v>2.4696593482633391E-2</v>
      </c>
      <c r="P99" s="167"/>
      <c r="Q99" s="189">
        <f>_xlfn.NORM.DIST(R97,$C$91,$C$92,1)-_xlfn.NORM.DIST(Q97,$C$91,$C$92,1)</f>
        <v>0.1169760752776664</v>
      </c>
      <c r="R99" s="167"/>
      <c r="S99" s="189">
        <f>_xlfn.NORM.DIST(T97,$C$91,$C$92,1)-_xlfn.NORM.DIST(S97,$C$91,$C$92,1)</f>
        <v>0.27580010914543307</v>
      </c>
      <c r="T99" s="167"/>
      <c r="U99" s="201"/>
      <c r="V99" s="175"/>
      <c r="W99" s="2"/>
      <c r="X99" s="2"/>
      <c r="Y99" s="2"/>
      <c r="Z99" s="2"/>
      <c r="AA99" s="2"/>
      <c r="AB99" s="2"/>
      <c r="AC99" s="2"/>
      <c r="AD99" s="2"/>
      <c r="AE99" s="2"/>
      <c r="AF99" s="2"/>
      <c r="AG99" s="2"/>
      <c r="AH99" s="2"/>
      <c r="AI99" s="2"/>
      <c r="AJ99" s="2"/>
      <c r="AK99" s="2"/>
    </row>
    <row r="100" spans="1:37" ht="15">
      <c r="A100" s="37" t="s">
        <v>128</v>
      </c>
      <c r="B100" s="49">
        <f>SUM(F2:F86)</f>
        <v>7082.8811999999998</v>
      </c>
      <c r="C100" s="2"/>
      <c r="D100" s="2"/>
      <c r="E100" s="2"/>
      <c r="F100" s="48" t="s">
        <v>123</v>
      </c>
      <c r="G100" s="180">
        <f>G98*G99</f>
        <v>4.6075831039059835E-7</v>
      </c>
      <c r="H100" s="167"/>
      <c r="I100" s="190">
        <f>I98*I99</f>
        <v>1.3191121845454714E-4</v>
      </c>
      <c r="J100" s="167"/>
      <c r="K100" s="180">
        <f>K98*K99</f>
        <v>1.6014651914510094E-3</v>
      </c>
      <c r="L100" s="167"/>
      <c r="M100" s="180">
        <f>M98*M99</f>
        <v>2.0678270577931649E-2</v>
      </c>
      <c r="N100" s="167"/>
      <c r="O100" s="180">
        <f>O98*O99</f>
        <v>0.17287615437843373</v>
      </c>
      <c r="P100" s="167"/>
      <c r="Q100" s="180">
        <f>Q98*Q99</f>
        <v>0.46790430111066561</v>
      </c>
      <c r="R100" s="167"/>
      <c r="S100" s="180">
        <f>S98*S99</f>
        <v>1.1032004365817323</v>
      </c>
      <c r="T100" s="167"/>
      <c r="U100" s="176"/>
      <c r="V100" s="175"/>
      <c r="W100" s="2"/>
      <c r="X100" s="2"/>
      <c r="Y100" s="2"/>
      <c r="Z100" s="2"/>
      <c r="AA100" s="2"/>
      <c r="AB100" s="2"/>
      <c r="AC100" s="2"/>
      <c r="AD100" s="2"/>
      <c r="AE100" s="2"/>
      <c r="AF100" s="2"/>
      <c r="AG100" s="2"/>
      <c r="AH100" s="2"/>
      <c r="AI100" s="2"/>
      <c r="AJ100" s="2"/>
      <c r="AK100" s="2"/>
    </row>
    <row r="101" spans="1:37" ht="15">
      <c r="A101" s="37" t="s">
        <v>129</v>
      </c>
      <c r="B101" s="50">
        <f>SUM(G2:G86)</f>
        <v>219.50229941193706</v>
      </c>
      <c r="C101" s="2"/>
      <c r="D101" s="2"/>
      <c r="E101" s="2"/>
      <c r="F101" s="136" t="s">
        <v>212</v>
      </c>
      <c r="G101" s="180">
        <f>(G98-G100)^2</f>
        <v>120.9999898633174</v>
      </c>
      <c r="H101" s="167"/>
      <c r="I101" s="190">
        <f>(I98-I100)^2</f>
        <v>1520.9897109423612</v>
      </c>
      <c r="J101" s="167"/>
      <c r="K101" s="180">
        <f>(K98-K100)^2</f>
        <v>143.96156740009593</v>
      </c>
      <c r="L101" s="167"/>
      <c r="M101" s="180">
        <f>(M98-M100)^2</f>
        <v>63.669575261627188</v>
      </c>
      <c r="N101" s="167"/>
      <c r="O101" s="180">
        <f>(O98-O100)^2</f>
        <v>46.609620003454602</v>
      </c>
      <c r="P101" s="167"/>
      <c r="Q101" s="180">
        <f>(Q98-Q100)^2</f>
        <v>12.475700026112536</v>
      </c>
      <c r="R101" s="167"/>
      <c r="S101" s="180">
        <f>(S98-S100)^2</f>
        <v>8.3914477106202661</v>
      </c>
      <c r="T101" s="167"/>
      <c r="U101" s="176"/>
      <c r="V101" s="175"/>
      <c r="W101" s="2"/>
      <c r="X101" s="2"/>
      <c r="Y101" s="2"/>
      <c r="Z101" s="2"/>
      <c r="AA101" s="2"/>
      <c r="AB101" s="2"/>
      <c r="AC101" s="2"/>
      <c r="AD101" s="2"/>
      <c r="AE101" s="2"/>
      <c r="AF101" s="2"/>
      <c r="AG101" s="2"/>
      <c r="AH101" s="2"/>
      <c r="AI101" s="2"/>
      <c r="AJ101" s="2"/>
      <c r="AK101" s="2"/>
    </row>
    <row r="102" spans="1:37" ht="15">
      <c r="A102" s="37" t="s">
        <v>130</v>
      </c>
      <c r="B102" s="2">
        <f>AVERAGE(G2:G86)</f>
        <v>2.5823799930816125</v>
      </c>
      <c r="C102" s="2"/>
      <c r="D102" s="2"/>
      <c r="E102" s="2"/>
      <c r="F102" s="2"/>
      <c r="G102" s="180">
        <f>G101/G100</f>
        <v>262610542.5222654</v>
      </c>
      <c r="H102" s="167"/>
      <c r="I102" s="180">
        <f>I101/I100</f>
        <v>11530404.530881133</v>
      </c>
      <c r="J102" s="181"/>
      <c r="K102" s="180">
        <f>K101/K100</f>
        <v>89893.659986240091</v>
      </c>
      <c r="L102" s="181"/>
      <c r="M102" s="180">
        <f>M101/M100</f>
        <v>3079.0570720927167</v>
      </c>
      <c r="N102" s="181"/>
      <c r="O102" s="180">
        <f>O101/O100</f>
        <v>269.61277667840778</v>
      </c>
      <c r="P102" s="181"/>
      <c r="Q102" s="180">
        <f>Q101/Q100</f>
        <v>26.662930852524621</v>
      </c>
      <c r="R102" s="181"/>
      <c r="S102" s="180">
        <f>S101/S100</f>
        <v>7.6064579312723763</v>
      </c>
      <c r="T102" s="181"/>
      <c r="U102" s="176"/>
      <c r="V102" s="175"/>
      <c r="W102" s="2"/>
      <c r="X102" s="2"/>
      <c r="Y102" s="2"/>
      <c r="Z102" s="2"/>
      <c r="AA102" s="2"/>
      <c r="AB102" s="2"/>
      <c r="AC102" s="2"/>
      <c r="AD102" s="2"/>
      <c r="AE102" s="2"/>
      <c r="AF102" s="2"/>
      <c r="AG102" s="2"/>
      <c r="AH102" s="2"/>
      <c r="AI102" s="2"/>
      <c r="AJ102" s="2"/>
      <c r="AK102" s="2"/>
    </row>
    <row r="103" spans="1:37" ht="15">
      <c r="A103" s="2"/>
      <c r="C103" s="2"/>
      <c r="D103" s="33" t="s">
        <v>131</v>
      </c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  <c r="AC103" s="2"/>
      <c r="AD103" s="2"/>
      <c r="AE103" s="2"/>
      <c r="AF103" s="2"/>
      <c r="AG103" s="2"/>
      <c r="AH103" s="2"/>
      <c r="AI103" s="2"/>
      <c r="AJ103" s="2"/>
      <c r="AK103" s="2"/>
    </row>
    <row r="104" spans="1:37" ht="15">
      <c r="A104" s="51" t="s">
        <v>132</v>
      </c>
      <c r="B104" s="52">
        <v>10</v>
      </c>
      <c r="C104" s="15">
        <f t="shared" ref="C104:C105" si="53">B99</f>
        <v>712.10000000000014</v>
      </c>
      <c r="D104" s="176" t="s">
        <v>133</v>
      </c>
      <c r="E104" s="15">
        <f>C99</f>
        <v>25.787921878491545</v>
      </c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  <c r="AC104" s="2"/>
      <c r="AD104" s="2"/>
      <c r="AE104" s="2"/>
      <c r="AF104" s="2"/>
      <c r="AG104" s="2"/>
      <c r="AH104" s="2"/>
      <c r="AI104" s="2"/>
      <c r="AJ104" s="2"/>
      <c r="AK104" s="2"/>
    </row>
    <row r="105" spans="1:37" ht="15">
      <c r="A105" s="2"/>
      <c r="B105" s="15">
        <f>B99</f>
        <v>712.10000000000014</v>
      </c>
      <c r="C105" s="15">
        <f t="shared" si="53"/>
        <v>7082.8811999999998</v>
      </c>
      <c r="D105" s="175"/>
      <c r="E105" s="52">
        <f>B101</f>
        <v>219.50229941193706</v>
      </c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  <c r="AC105" s="2"/>
      <c r="AD105" s="2"/>
      <c r="AE105" s="2"/>
      <c r="AF105" s="2"/>
      <c r="AG105" s="2"/>
      <c r="AH105" s="2"/>
      <c r="AI105" s="2"/>
      <c r="AJ105" s="2"/>
      <c r="AK105" s="2"/>
    </row>
    <row r="106" spans="1:37" ht="12.75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  <c r="AC106" s="2"/>
      <c r="AD106" s="2"/>
      <c r="AE106" s="2"/>
      <c r="AF106" s="2"/>
      <c r="AG106" s="2"/>
      <c r="AH106" s="2"/>
      <c r="AI106" s="2"/>
      <c r="AJ106" s="2"/>
      <c r="AK106" s="2"/>
    </row>
    <row r="107" spans="1:37" ht="27.75" customHeight="1">
      <c r="A107" s="2"/>
      <c r="B107" s="53">
        <f t="array" ref="B107:C108">MINVERSE(B104:C105)</f>
        <v>-1.6235548062592132E-2</v>
      </c>
      <c r="C107" s="53">
        <v>1.6322924878892306E-3</v>
      </c>
      <c r="D107" s="176" t="s">
        <v>133</v>
      </c>
      <c r="E107" s="22">
        <f t="shared" ref="E107:E108" si="54">E104</f>
        <v>25.787921878491545</v>
      </c>
      <c r="F107" s="2"/>
      <c r="G107" s="2"/>
      <c r="H107" s="54"/>
      <c r="I107" s="33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  <c r="AC107" s="2"/>
      <c r="AD107" s="2"/>
      <c r="AE107" s="2"/>
      <c r="AF107" s="2"/>
      <c r="AG107" s="2"/>
      <c r="AH107" s="2"/>
      <c r="AI107" s="2"/>
      <c r="AJ107" s="2"/>
      <c r="AK107" s="2"/>
    </row>
    <row r="108" spans="1:37" ht="15">
      <c r="A108" s="2"/>
      <c r="B108" s="53">
        <v>1.6322924878892306E-3</v>
      </c>
      <c r="C108" s="55">
        <v>-2.2922236875287606E-5</v>
      </c>
      <c r="D108" s="175"/>
      <c r="E108" s="22">
        <f t="shared" si="54"/>
        <v>219.50229941193706</v>
      </c>
      <c r="F108" s="2"/>
      <c r="G108" s="2"/>
      <c r="H108" s="54"/>
      <c r="I108" s="33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  <c r="AC108" s="2"/>
      <c r="AD108" s="2"/>
      <c r="AE108" s="2"/>
      <c r="AF108" s="2"/>
      <c r="AG108" s="2"/>
      <c r="AH108" s="2"/>
      <c r="AI108" s="2"/>
      <c r="AJ108" s="2"/>
      <c r="AK108" s="2"/>
    </row>
    <row r="109" spans="1:37" ht="12.75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  <c r="AC109" s="2"/>
      <c r="AD109" s="2"/>
      <c r="AE109" s="2"/>
      <c r="AF109" s="2"/>
      <c r="AG109" s="2"/>
      <c r="AH109" s="2"/>
      <c r="AI109" s="2"/>
      <c r="AJ109" s="2"/>
      <c r="AK109" s="2"/>
    </row>
    <row r="110" spans="1:37" ht="15">
      <c r="A110" s="56" t="s">
        <v>134</v>
      </c>
      <c r="B110" s="57">
        <f t="array" ref="B110:B111">MMULT(B107:C108,E107:E108)</f>
        <v>-6.0389090688103109E-2</v>
      </c>
      <c r="C110" s="2"/>
      <c r="D110" s="2" t="s">
        <v>135</v>
      </c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  <c r="AC110" s="2"/>
      <c r="AD110" s="2"/>
      <c r="AE110" s="2"/>
      <c r="AF110" s="2"/>
      <c r="AG110" s="2"/>
      <c r="AH110" s="2"/>
      <c r="AI110" s="2"/>
      <c r="AJ110" s="2"/>
      <c r="AK110" s="2"/>
    </row>
    <row r="111" spans="1:37" ht="15">
      <c r="A111" s="56" t="s">
        <v>3</v>
      </c>
      <c r="B111" s="57">
        <v>3.7061947458745359E-2</v>
      </c>
      <c r="C111" s="2"/>
      <c r="D111" s="2" t="s">
        <v>134</v>
      </c>
      <c r="E111" s="2"/>
      <c r="F111" s="2"/>
      <c r="G111" s="2"/>
      <c r="H111" s="2"/>
      <c r="I111" s="2"/>
      <c r="J111" s="177"/>
      <c r="K111" s="175"/>
      <c r="L111" s="175"/>
      <c r="M111" s="175"/>
      <c r="N111" s="175"/>
      <c r="O111" s="175"/>
      <c r="P111" s="175"/>
      <c r="Q111" s="175"/>
      <c r="R111" s="175"/>
      <c r="S111" s="175"/>
      <c r="T111" s="175"/>
      <c r="U111" s="2"/>
      <c r="V111" s="2"/>
      <c r="W111" s="2"/>
      <c r="X111" s="2"/>
      <c r="Y111" s="2"/>
      <c r="Z111" s="2"/>
      <c r="AA111" s="2"/>
      <c r="AB111" s="2"/>
      <c r="AC111" s="2"/>
      <c r="AD111" s="2"/>
      <c r="AE111" s="2"/>
      <c r="AF111" s="2"/>
      <c r="AG111" s="2"/>
      <c r="AH111" s="2"/>
      <c r="AI111" s="2"/>
      <c r="AJ111" s="2"/>
      <c r="AK111" s="2"/>
    </row>
    <row r="112" spans="1:37" ht="12.75">
      <c r="A112" s="2" t="s">
        <v>136</v>
      </c>
      <c r="B112" s="2"/>
      <c r="C112" s="2"/>
      <c r="D112" s="2"/>
      <c r="E112" s="2"/>
      <c r="F112" s="2"/>
      <c r="G112" s="2"/>
      <c r="H112" s="2"/>
      <c r="I112" s="2"/>
      <c r="J112" s="175"/>
      <c r="K112" s="175"/>
      <c r="L112" s="175"/>
      <c r="M112" s="175"/>
      <c r="N112" s="175"/>
      <c r="O112" s="175"/>
      <c r="P112" s="175"/>
      <c r="Q112" s="175"/>
      <c r="R112" s="175"/>
      <c r="S112" s="175"/>
      <c r="T112" s="175"/>
      <c r="U112" s="2"/>
      <c r="V112" s="2"/>
      <c r="W112" s="2"/>
      <c r="X112" s="2"/>
      <c r="Y112" s="2"/>
      <c r="Z112" s="2"/>
      <c r="AA112" s="2"/>
      <c r="AB112" s="2"/>
      <c r="AC112" s="2"/>
      <c r="AD112" s="2"/>
      <c r="AE112" s="2"/>
      <c r="AF112" s="2"/>
      <c r="AG112" s="2"/>
      <c r="AH112" s="2"/>
      <c r="AI112" s="2"/>
      <c r="AJ112" s="2"/>
      <c r="AK112" s="2"/>
    </row>
    <row r="113" spans="1:37" ht="15">
      <c r="A113" s="58" t="s">
        <v>134</v>
      </c>
      <c r="B113" s="59">
        <f>(B102-(B91*C91))/(B92*B92)</f>
        <v>3.5498717090150025E-3</v>
      </c>
      <c r="C113" s="2"/>
      <c r="D113" s="60">
        <f>C91-K2*B91</f>
        <v>-0.6572707136312802</v>
      </c>
      <c r="E113" s="2"/>
      <c r="F113" s="2"/>
      <c r="G113" s="2"/>
      <c r="H113" s="2"/>
      <c r="I113" s="2"/>
      <c r="J113" s="178"/>
      <c r="K113" s="179"/>
      <c r="L113" s="167"/>
      <c r="M113" s="61"/>
      <c r="N113" s="61"/>
      <c r="O113" s="61"/>
      <c r="P113" s="61"/>
      <c r="Q113" s="61"/>
      <c r="R113" s="61"/>
      <c r="S113" s="61"/>
      <c r="T113" s="178"/>
      <c r="U113" s="2"/>
      <c r="V113" s="2"/>
      <c r="W113" s="2"/>
      <c r="X113" s="2"/>
      <c r="Y113" s="2"/>
      <c r="Z113" s="2"/>
      <c r="AA113" s="2"/>
      <c r="AB113" s="2"/>
      <c r="AC113" s="2"/>
      <c r="AD113" s="2"/>
      <c r="AE113" s="2"/>
      <c r="AF113" s="2"/>
      <c r="AG113" s="2"/>
      <c r="AH113" s="2"/>
      <c r="AI113" s="2"/>
      <c r="AJ113" s="2"/>
      <c r="AK113" s="2"/>
    </row>
    <row r="114" spans="1:37" ht="15">
      <c r="A114" s="58" t="s">
        <v>138</v>
      </c>
      <c r="B114" s="20">
        <f>C91-B113*B91</f>
        <v>0.27293776130001796</v>
      </c>
      <c r="C114" s="2"/>
      <c r="D114" s="2"/>
      <c r="E114" s="2"/>
      <c r="F114" s="2"/>
      <c r="G114" s="2"/>
      <c r="H114" s="2"/>
      <c r="I114" s="2"/>
      <c r="J114" s="175"/>
      <c r="K114" s="62"/>
      <c r="L114" s="63"/>
      <c r="M114" s="61"/>
      <c r="N114" s="61"/>
      <c r="O114" s="61"/>
      <c r="P114" s="61"/>
      <c r="Q114" s="61"/>
      <c r="R114" s="61"/>
      <c r="S114" s="61"/>
      <c r="T114" s="175"/>
      <c r="U114" s="2"/>
      <c r="V114" s="2"/>
      <c r="W114" s="2"/>
      <c r="X114" s="2"/>
      <c r="Y114" s="2"/>
      <c r="Z114" s="2"/>
      <c r="AA114" s="2"/>
      <c r="AB114" s="2"/>
      <c r="AC114" s="2"/>
      <c r="AD114" s="2"/>
      <c r="AE114" s="2"/>
      <c r="AF114" s="2"/>
      <c r="AG114" s="2"/>
      <c r="AH114" s="2"/>
      <c r="AI114" s="2"/>
      <c r="AJ114" s="2"/>
      <c r="AK114" s="2"/>
    </row>
    <row r="115" spans="1:37" ht="15">
      <c r="A115" s="2"/>
      <c r="B115" s="2"/>
      <c r="C115" s="2"/>
      <c r="D115" s="2"/>
      <c r="E115" s="2"/>
      <c r="F115" s="2"/>
      <c r="G115" s="2"/>
      <c r="H115" s="2"/>
      <c r="I115" s="2"/>
      <c r="J115" s="175"/>
      <c r="K115" s="62"/>
      <c r="L115" s="63"/>
      <c r="M115" s="61"/>
      <c r="N115" s="61"/>
      <c r="O115" s="61"/>
      <c r="P115" s="61"/>
      <c r="Q115" s="61"/>
      <c r="R115" s="61"/>
      <c r="S115" s="61"/>
      <c r="T115" s="175"/>
      <c r="U115" s="2"/>
      <c r="V115" s="2"/>
      <c r="W115" s="2"/>
      <c r="X115" s="2"/>
      <c r="Y115" s="2"/>
      <c r="Z115" s="2"/>
      <c r="AA115" s="2"/>
      <c r="AB115" s="2"/>
      <c r="AC115" s="2"/>
      <c r="AD115" s="2"/>
      <c r="AE115" s="2"/>
      <c r="AF115" s="2"/>
      <c r="AG115" s="2"/>
      <c r="AH115" s="2"/>
      <c r="AI115" s="2"/>
      <c r="AJ115" s="2"/>
      <c r="AK115" s="2"/>
    </row>
    <row r="116" spans="1:37" ht="15">
      <c r="A116" s="2"/>
      <c r="B116" s="2"/>
      <c r="C116" s="2"/>
      <c r="D116" s="2"/>
      <c r="E116" s="2"/>
      <c r="F116" s="2"/>
      <c r="G116" s="2"/>
      <c r="H116" s="2"/>
      <c r="I116" s="2"/>
      <c r="J116" s="175"/>
      <c r="K116" s="62"/>
      <c r="L116" s="63"/>
      <c r="M116" s="61"/>
      <c r="N116" s="61"/>
      <c r="O116" s="61"/>
      <c r="P116" s="61"/>
      <c r="Q116" s="61"/>
      <c r="R116" s="61"/>
      <c r="S116" s="61"/>
      <c r="T116" s="175"/>
      <c r="U116" s="2"/>
      <c r="V116" s="2"/>
      <c r="W116" s="2"/>
      <c r="X116" s="2"/>
      <c r="Y116" s="2"/>
      <c r="Z116" s="2"/>
      <c r="AA116" s="2"/>
      <c r="AB116" s="2"/>
      <c r="AC116" s="2"/>
      <c r="AD116" s="2"/>
      <c r="AE116" s="2"/>
      <c r="AF116" s="2"/>
      <c r="AG116" s="2"/>
      <c r="AH116" s="2"/>
      <c r="AI116" s="2"/>
      <c r="AJ116" s="2"/>
      <c r="AK116" s="2"/>
    </row>
    <row r="117" spans="1:37" ht="15">
      <c r="A117" s="9" t="s">
        <v>142</v>
      </c>
      <c r="B117" s="9" t="s">
        <v>143</v>
      </c>
      <c r="C117" s="9" t="s">
        <v>15</v>
      </c>
      <c r="D117" s="2"/>
      <c r="E117" s="2"/>
      <c r="F117" s="2"/>
      <c r="G117" s="2"/>
      <c r="H117" s="2"/>
      <c r="I117" s="2"/>
      <c r="J117" s="175"/>
      <c r="K117" s="62"/>
      <c r="L117" s="63"/>
      <c r="M117" s="61"/>
      <c r="N117" s="61"/>
      <c r="O117" s="61"/>
      <c r="P117" s="61"/>
      <c r="Q117" s="61"/>
      <c r="R117" s="61"/>
      <c r="S117" s="61"/>
      <c r="T117" s="175"/>
      <c r="U117" s="2"/>
      <c r="V117" s="2"/>
      <c r="W117" s="2"/>
      <c r="X117" s="2"/>
      <c r="Y117" s="2"/>
      <c r="Z117" s="2"/>
      <c r="AA117" s="2"/>
      <c r="AB117" s="2"/>
      <c r="AC117" s="2"/>
      <c r="AD117" s="2"/>
      <c r="AE117" s="2"/>
      <c r="AF117" s="2"/>
      <c r="AG117" s="2"/>
      <c r="AH117" s="2"/>
      <c r="AI117" s="2"/>
      <c r="AJ117" s="2"/>
      <c r="AK117" s="2"/>
    </row>
    <row r="118" spans="1:37" ht="15">
      <c r="A118" s="9">
        <v>1</v>
      </c>
      <c r="B118" s="22">
        <f>SUM(B2:B32)</f>
        <v>266.09999999999997</v>
      </c>
      <c r="C118" s="22">
        <f>SUM(C2:C32)</f>
        <v>9.3486437153764754</v>
      </c>
      <c r="D118" s="2"/>
      <c r="E118" s="2"/>
      <c r="F118" s="2"/>
      <c r="G118" s="2"/>
      <c r="H118" s="2"/>
      <c r="I118" s="2"/>
      <c r="J118" s="175"/>
      <c r="K118" s="62"/>
      <c r="L118" s="63"/>
      <c r="M118" s="61"/>
      <c r="N118" s="61"/>
      <c r="O118" s="61"/>
      <c r="P118" s="61"/>
      <c r="Q118" s="61"/>
      <c r="R118" s="61"/>
      <c r="S118" s="61"/>
      <c r="T118" s="175"/>
      <c r="U118" s="2"/>
      <c r="V118" s="2"/>
      <c r="W118" s="2"/>
      <c r="X118" s="2"/>
      <c r="Y118" s="2"/>
      <c r="Z118" s="2"/>
      <c r="AA118" s="2"/>
      <c r="AB118" s="2"/>
      <c r="AC118" s="2"/>
      <c r="AD118" s="2"/>
      <c r="AE118" s="2"/>
      <c r="AF118" s="2"/>
      <c r="AG118" s="2"/>
      <c r="AH118" s="2"/>
      <c r="AI118" s="2"/>
      <c r="AJ118" s="2"/>
      <c r="AK118" s="2"/>
    </row>
    <row r="119" spans="1:37" ht="15">
      <c r="A119" s="9">
        <v>2</v>
      </c>
      <c r="B119" s="22">
        <f t="shared" ref="B119:C119" si="55">SUM(B33:B64)</f>
        <v>250.79999999999998</v>
      </c>
      <c r="C119" s="22">
        <f t="shared" si="55"/>
        <v>9.9551051995365718</v>
      </c>
      <c r="D119" s="2"/>
      <c r="E119" s="2"/>
      <c r="F119" s="2"/>
      <c r="G119" s="2"/>
      <c r="H119" s="2"/>
      <c r="I119" s="2"/>
      <c r="J119" s="175"/>
      <c r="K119" s="61"/>
      <c r="L119" s="61"/>
      <c r="M119" s="61"/>
      <c r="N119" s="61"/>
      <c r="O119" s="61"/>
      <c r="P119" s="61"/>
      <c r="Q119" s="61"/>
      <c r="R119" s="61"/>
      <c r="S119" s="61"/>
      <c r="T119" s="175"/>
      <c r="U119" s="2"/>
      <c r="V119" s="2"/>
      <c r="W119" s="2"/>
      <c r="X119" s="2"/>
      <c r="Y119" s="2"/>
      <c r="Z119" s="2"/>
      <c r="AA119" s="2"/>
      <c r="AB119" s="2"/>
      <c r="AC119" s="2"/>
      <c r="AD119" s="2"/>
      <c r="AE119" s="2"/>
      <c r="AF119" s="2"/>
      <c r="AG119" s="2"/>
      <c r="AH119" s="2"/>
      <c r="AI119" s="2"/>
      <c r="AJ119" s="2"/>
      <c r="AK119" s="2"/>
    </row>
    <row r="120" spans="1:37" ht="15">
      <c r="A120" s="9">
        <v>3</v>
      </c>
      <c r="B120" s="22">
        <f>SUM(B65:B86)</f>
        <v>195.2</v>
      </c>
      <c r="C120" s="22">
        <f>SUM(C65:C86)</f>
        <v>6.4841729635784926</v>
      </c>
      <c r="D120" s="2"/>
      <c r="E120" s="2"/>
      <c r="F120" s="2"/>
      <c r="G120" s="2"/>
      <c r="H120" s="2"/>
      <c r="I120" s="2"/>
      <c r="J120" s="175"/>
      <c r="K120" s="64"/>
      <c r="L120" s="65"/>
      <c r="M120" s="65"/>
      <c r="N120" s="65"/>
      <c r="O120" s="65"/>
      <c r="P120" s="65"/>
      <c r="Q120" s="61"/>
      <c r="R120" s="61"/>
      <c r="S120" s="61"/>
      <c r="T120" s="175"/>
      <c r="U120" s="2"/>
      <c r="V120" s="2"/>
      <c r="W120" s="2"/>
      <c r="X120" s="2"/>
      <c r="Y120" s="2"/>
      <c r="Z120" s="2"/>
      <c r="AA120" s="2"/>
      <c r="AB120" s="2"/>
      <c r="AC120" s="2"/>
      <c r="AD120" s="2"/>
      <c r="AE120" s="2"/>
      <c r="AF120" s="2"/>
      <c r="AG120" s="2"/>
      <c r="AH120" s="2"/>
      <c r="AI120" s="2"/>
      <c r="AJ120" s="2"/>
      <c r="AK120" s="2"/>
    </row>
    <row r="121" spans="1:37" ht="15">
      <c r="A121" s="146" t="s">
        <v>238</v>
      </c>
      <c r="B121" s="2"/>
      <c r="C121" s="2"/>
      <c r="D121" s="2"/>
      <c r="E121" s="2"/>
      <c r="F121" s="2"/>
      <c r="G121" s="2"/>
      <c r="H121" s="2"/>
      <c r="I121" s="2"/>
      <c r="J121" s="175"/>
      <c r="K121" s="62"/>
      <c r="L121" s="66"/>
      <c r="M121" s="66"/>
      <c r="N121" s="66"/>
      <c r="O121" s="66"/>
      <c r="P121" s="66"/>
      <c r="Q121" s="61"/>
      <c r="R121" s="61"/>
      <c r="S121" s="61"/>
      <c r="T121" s="175"/>
      <c r="U121" s="2"/>
      <c r="V121" s="2"/>
      <c r="W121" s="2"/>
      <c r="X121" s="2"/>
      <c r="Y121" s="2"/>
      <c r="Z121" s="2"/>
      <c r="AA121" s="2"/>
      <c r="AB121" s="2"/>
      <c r="AC121" s="2"/>
      <c r="AD121" s="2"/>
      <c r="AE121" s="2"/>
      <c r="AF121" s="2"/>
      <c r="AG121" s="2"/>
      <c r="AH121" s="2"/>
      <c r="AI121" s="2"/>
      <c r="AJ121" s="2"/>
      <c r="AK121" s="2"/>
    </row>
    <row r="122" spans="1:37" ht="15">
      <c r="A122" s="67" t="s">
        <v>153</v>
      </c>
      <c r="B122" s="68">
        <f>(C120-C118)/(B120-B118)</f>
        <v>4.0401562084597796E-2</v>
      </c>
      <c r="C122" s="2"/>
      <c r="D122" s="2"/>
      <c r="E122" s="2"/>
      <c r="F122" s="2"/>
      <c r="G122" s="2"/>
      <c r="H122" s="2"/>
      <c r="I122" s="2"/>
      <c r="J122" s="175"/>
      <c r="K122" s="62"/>
      <c r="L122" s="66"/>
      <c r="M122" s="66"/>
      <c r="N122" s="66"/>
      <c r="O122" s="66"/>
      <c r="P122" s="66"/>
      <c r="Q122" s="61"/>
      <c r="R122" s="61"/>
      <c r="S122" s="61"/>
      <c r="T122" s="175"/>
      <c r="U122" s="2"/>
      <c r="V122" s="2"/>
      <c r="W122" s="2"/>
      <c r="X122" s="2"/>
      <c r="Y122" s="2"/>
      <c r="Z122" s="2"/>
      <c r="AA122" s="2"/>
      <c r="AB122" s="2"/>
      <c r="AC122" s="2"/>
      <c r="AD122" s="2"/>
      <c r="AE122" s="2"/>
      <c r="AF122" s="2"/>
      <c r="AG122" s="2"/>
      <c r="AH122" s="2"/>
      <c r="AI122" s="2"/>
      <c r="AJ122" s="2"/>
      <c r="AK122" s="2"/>
    </row>
    <row r="123" spans="1:37" ht="15">
      <c r="A123" s="67" t="s">
        <v>155</v>
      </c>
      <c r="B123" s="69">
        <f>C91-B122*B91</f>
        <v>-3.5792694187658625E-2</v>
      </c>
      <c r="C123" s="2"/>
      <c r="D123" s="2"/>
      <c r="E123" s="2"/>
      <c r="F123" s="2"/>
      <c r="G123" s="2"/>
      <c r="H123" s="2"/>
      <c r="I123" s="2"/>
      <c r="J123" s="175"/>
      <c r="K123" s="62"/>
      <c r="L123" s="66"/>
      <c r="M123" s="66"/>
      <c r="N123" s="66"/>
      <c r="O123" s="66"/>
      <c r="P123" s="66"/>
      <c r="Q123" s="61"/>
      <c r="R123" s="61"/>
      <c r="S123" s="61"/>
      <c r="T123" s="175"/>
      <c r="U123" s="2"/>
      <c r="V123" s="2"/>
      <c r="W123" s="2"/>
      <c r="X123" s="2"/>
      <c r="Y123" s="2"/>
      <c r="Z123" s="2"/>
      <c r="AA123" s="2"/>
      <c r="AB123" s="2"/>
      <c r="AC123" s="2"/>
      <c r="AD123" s="2"/>
      <c r="AE123" s="2"/>
      <c r="AF123" s="2"/>
      <c r="AG123" s="2"/>
      <c r="AH123" s="2"/>
      <c r="AI123" s="2"/>
      <c r="AJ123" s="2"/>
      <c r="AK123" s="2"/>
    </row>
    <row r="124" spans="1:37" ht="12.75">
      <c r="A124" s="2"/>
      <c r="B124" s="2"/>
      <c r="C124" s="2"/>
      <c r="D124" s="2"/>
      <c r="E124" s="2"/>
      <c r="F124" s="2"/>
      <c r="G124" s="2"/>
      <c r="H124" s="2"/>
      <c r="I124" s="2"/>
      <c r="J124" s="175"/>
      <c r="K124" s="61"/>
      <c r="L124" s="61"/>
      <c r="M124" s="61"/>
      <c r="N124" s="61"/>
      <c r="O124" s="61"/>
      <c r="P124" s="61"/>
      <c r="Q124" s="61"/>
      <c r="R124" s="61"/>
      <c r="S124" s="61"/>
      <c r="T124" s="175"/>
      <c r="U124" s="2"/>
      <c r="V124" s="2"/>
      <c r="W124" s="2"/>
      <c r="X124" s="2"/>
      <c r="Y124" s="2"/>
      <c r="Z124" s="2"/>
      <c r="AA124" s="2"/>
      <c r="AB124" s="2"/>
      <c r="AC124" s="2"/>
      <c r="AD124" s="2"/>
      <c r="AE124" s="2"/>
      <c r="AF124" s="2"/>
      <c r="AG124" s="2"/>
      <c r="AH124" s="2"/>
      <c r="AI124" s="2"/>
      <c r="AJ124" s="2"/>
      <c r="AK124" s="2"/>
    </row>
    <row r="125" spans="1:37" ht="15">
      <c r="A125" s="2"/>
      <c r="B125" s="2"/>
      <c r="C125" s="70" t="s">
        <v>157</v>
      </c>
      <c r="D125" s="70" t="s">
        <v>158</v>
      </c>
      <c r="E125" s="2"/>
      <c r="F125" s="2"/>
      <c r="G125" s="2"/>
      <c r="H125" s="2"/>
      <c r="I125" s="2"/>
      <c r="J125" s="175"/>
      <c r="K125" s="71"/>
      <c r="L125" s="72"/>
      <c r="M125" s="72"/>
      <c r="N125" s="72"/>
      <c r="O125" s="72"/>
      <c r="P125" s="72"/>
      <c r="Q125" s="72"/>
      <c r="R125" s="72"/>
      <c r="S125" s="72"/>
      <c r="T125" s="175"/>
      <c r="U125" s="2"/>
      <c r="V125" s="2"/>
      <c r="W125" s="2"/>
      <c r="X125" s="2"/>
      <c r="Y125" s="2"/>
      <c r="Z125" s="2"/>
      <c r="AA125" s="2"/>
      <c r="AB125" s="2"/>
      <c r="AC125" s="2"/>
      <c r="AD125" s="2"/>
      <c r="AE125" s="2"/>
      <c r="AF125" s="2"/>
      <c r="AG125" s="2"/>
      <c r="AH125" s="2"/>
      <c r="AI125" s="2"/>
      <c r="AJ125" s="2"/>
      <c r="AK125" s="2"/>
    </row>
    <row r="126" spans="1:37" ht="15">
      <c r="A126" s="70" t="s">
        <v>16</v>
      </c>
      <c r="B126" s="73">
        <f t="shared" ref="B126:B127" si="56">B88</f>
        <v>0.3</v>
      </c>
      <c r="C126" s="74">
        <f>B114+B113*B126</f>
        <v>0.27400272281272248</v>
      </c>
      <c r="D126" s="74">
        <f>B123+B126*B122</f>
        <v>-2.3672225562279284E-2</v>
      </c>
      <c r="E126" s="2"/>
      <c r="F126" s="2"/>
      <c r="G126" s="2"/>
      <c r="H126" s="2"/>
      <c r="I126" s="2"/>
      <c r="J126" s="175"/>
      <c r="K126" s="75"/>
      <c r="L126" s="76"/>
      <c r="M126" s="76"/>
      <c r="N126" s="76"/>
      <c r="O126" s="76"/>
      <c r="P126" s="76"/>
      <c r="Q126" s="76"/>
      <c r="R126" s="76"/>
      <c r="S126" s="76"/>
      <c r="T126" s="175"/>
      <c r="U126" s="2"/>
      <c r="V126" s="2"/>
      <c r="W126" s="2"/>
      <c r="X126" s="2"/>
      <c r="Y126" s="2"/>
      <c r="Z126" s="2"/>
      <c r="AA126" s="2"/>
      <c r="AB126" s="2"/>
      <c r="AC126" s="2"/>
      <c r="AD126" s="2"/>
      <c r="AE126" s="2"/>
      <c r="AF126" s="2"/>
      <c r="AG126" s="2"/>
      <c r="AH126" s="2"/>
      <c r="AI126" s="2"/>
      <c r="AJ126" s="2"/>
      <c r="AK126" s="2"/>
    </row>
    <row r="127" spans="1:37" ht="15">
      <c r="A127" s="70" t="s">
        <v>17</v>
      </c>
      <c r="B127" s="73">
        <f t="shared" si="56"/>
        <v>17.600000000000001</v>
      </c>
      <c r="C127" s="74">
        <f>B114+B113*B127</f>
        <v>0.33541550337868198</v>
      </c>
      <c r="D127" s="74">
        <f>B123+B127*B122</f>
        <v>0.6752747985012626</v>
      </c>
      <c r="E127" s="2"/>
      <c r="F127" s="2"/>
      <c r="G127" s="2"/>
      <c r="H127" s="2"/>
      <c r="I127" s="2"/>
      <c r="J127" s="175"/>
      <c r="K127" s="75"/>
      <c r="L127" s="76"/>
      <c r="M127" s="76"/>
      <c r="N127" s="76"/>
      <c r="O127" s="76"/>
      <c r="P127" s="76"/>
      <c r="Q127" s="76"/>
      <c r="R127" s="76"/>
      <c r="S127" s="76"/>
      <c r="T127" s="175"/>
      <c r="U127" s="2"/>
      <c r="V127" s="2"/>
      <c r="W127" s="2"/>
      <c r="X127" s="2"/>
      <c r="Y127" s="2"/>
      <c r="Z127" s="2"/>
      <c r="AA127" s="2"/>
      <c r="AB127" s="2"/>
      <c r="AC127" s="2"/>
      <c r="AD127" s="2"/>
      <c r="AE127" s="2"/>
      <c r="AF127" s="2"/>
      <c r="AG127" s="2"/>
      <c r="AH127" s="2"/>
      <c r="AI127" s="2"/>
      <c r="AJ127" s="2"/>
      <c r="AK127" s="2"/>
    </row>
    <row r="128" spans="1:37" ht="12.75">
      <c r="A128" s="2"/>
      <c r="B128" s="2"/>
      <c r="C128" s="2"/>
      <c r="D128" s="2"/>
      <c r="E128" s="2"/>
      <c r="F128" s="2"/>
      <c r="G128" s="2"/>
      <c r="H128" s="2"/>
      <c r="I128" s="2"/>
      <c r="J128" s="178"/>
      <c r="K128" s="175"/>
      <c r="L128" s="175"/>
      <c r="M128" s="175"/>
      <c r="N128" s="175"/>
      <c r="O128" s="175"/>
      <c r="P128" s="175"/>
      <c r="Q128" s="175"/>
      <c r="R128" s="175"/>
      <c r="S128" s="175"/>
      <c r="T128" s="175"/>
      <c r="U128" s="2"/>
      <c r="V128" s="2"/>
      <c r="W128" s="2"/>
      <c r="X128" s="2"/>
      <c r="Y128" s="2"/>
      <c r="Z128" s="2"/>
      <c r="AA128" s="2"/>
      <c r="AB128" s="2"/>
      <c r="AC128" s="2"/>
      <c r="AD128" s="2"/>
      <c r="AE128" s="2"/>
      <c r="AF128" s="2"/>
      <c r="AG128" s="2"/>
      <c r="AH128" s="2"/>
      <c r="AI128" s="2"/>
      <c r="AJ128" s="2"/>
      <c r="AK128" s="2"/>
    </row>
    <row r="129" spans="1:37" ht="12.75">
      <c r="A129" s="2"/>
      <c r="B129" s="2"/>
      <c r="C129" s="2"/>
      <c r="D129" s="2"/>
      <c r="E129" s="2"/>
      <c r="F129" s="2"/>
      <c r="G129" s="2"/>
      <c r="H129" s="2"/>
      <c r="I129" s="2"/>
      <c r="J129" s="175"/>
      <c r="K129" s="175"/>
      <c r="L129" s="175"/>
      <c r="M129" s="175"/>
      <c r="N129" s="175"/>
      <c r="O129" s="175"/>
      <c r="P129" s="175"/>
      <c r="Q129" s="175"/>
      <c r="R129" s="175"/>
      <c r="S129" s="175"/>
      <c r="T129" s="175"/>
      <c r="U129" s="2"/>
      <c r="V129" s="2"/>
      <c r="W129" s="2"/>
      <c r="X129" s="2"/>
      <c r="Y129" s="2"/>
      <c r="Z129" s="2"/>
      <c r="AA129" s="2"/>
      <c r="AB129" s="2"/>
      <c r="AC129" s="2"/>
      <c r="AD129" s="2"/>
      <c r="AE129" s="2"/>
      <c r="AF129" s="2"/>
      <c r="AG129" s="2"/>
      <c r="AH129" s="2"/>
      <c r="AI129" s="2"/>
      <c r="AJ129" s="2"/>
      <c r="AK129" s="2"/>
    </row>
    <row r="130" spans="1:37" ht="12.75">
      <c r="A130" s="70" t="s">
        <v>10</v>
      </c>
      <c r="B130" s="77">
        <f>(1/84)*(SUM(N2:N87))</f>
        <v>1.9858049334648205E-3</v>
      </c>
      <c r="C130" s="2"/>
      <c r="D130" s="78" t="s">
        <v>167</v>
      </c>
      <c r="E130" s="79">
        <f t="shared" ref="E130:E131" si="57">SQRT(B130)</f>
        <v>4.4562371272911641E-2</v>
      </c>
      <c r="F130" s="2"/>
      <c r="G130" s="2"/>
      <c r="H130" s="2"/>
      <c r="I130" s="2"/>
      <c r="J130" s="2"/>
      <c r="T130" s="2"/>
      <c r="U130" s="2"/>
      <c r="V130" s="2"/>
      <c r="W130" s="2"/>
      <c r="X130" s="2"/>
      <c r="Y130" s="2"/>
      <c r="Z130" s="2"/>
      <c r="AA130" s="2"/>
      <c r="AB130" s="2"/>
      <c r="AC130" s="2"/>
      <c r="AD130" s="2"/>
      <c r="AE130" s="2"/>
      <c r="AF130" s="2"/>
      <c r="AG130" s="2"/>
      <c r="AH130" s="2"/>
      <c r="AI130" s="2"/>
      <c r="AJ130" s="2"/>
      <c r="AK130" s="2"/>
    </row>
    <row r="131" spans="1:37" ht="12.75">
      <c r="A131" s="70" t="s">
        <v>168</v>
      </c>
      <c r="B131" s="77">
        <f>(1/85)*(SUM(P2:P87))</f>
        <v>13.143043875432525</v>
      </c>
      <c r="C131" s="2"/>
      <c r="D131" s="78" t="s">
        <v>169</v>
      </c>
      <c r="E131" s="79">
        <f t="shared" si="57"/>
        <v>3.6253336226384083</v>
      </c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  <c r="AC131" s="2"/>
      <c r="AD131" s="2"/>
      <c r="AE131" s="2"/>
      <c r="AF131" s="2"/>
      <c r="AG131" s="2"/>
      <c r="AH131" s="2"/>
      <c r="AI131" s="2"/>
      <c r="AJ131" s="2"/>
      <c r="AK131" s="2"/>
    </row>
    <row r="132" spans="1:37" ht="12.75">
      <c r="A132" s="70" t="s">
        <v>170</v>
      </c>
      <c r="B132" s="77">
        <f>E130/(E131*SQRT(85))</f>
        <v>1.3332477239270397E-3</v>
      </c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  <c r="AC132" s="2"/>
      <c r="AD132" s="2"/>
      <c r="AE132" s="2"/>
      <c r="AF132" s="2"/>
      <c r="AG132" s="2"/>
      <c r="AH132" s="2"/>
      <c r="AI132" s="2"/>
      <c r="AJ132" s="2"/>
      <c r="AK132" s="2"/>
    </row>
    <row r="133" spans="1:37" ht="12.75">
      <c r="A133" s="70" t="s">
        <v>171</v>
      </c>
      <c r="B133" s="77">
        <f>E130*SQRT((1/86)+((B91^2)/(85*B131)))</f>
        <v>1.2159276842624619E-2</v>
      </c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  <c r="AC133" s="2"/>
      <c r="AD133" s="2"/>
      <c r="AE133" s="2"/>
      <c r="AF133" s="2"/>
      <c r="AG133" s="2"/>
      <c r="AH133" s="2"/>
      <c r="AI133" s="2"/>
      <c r="AJ133" s="2"/>
      <c r="AK133" s="2"/>
    </row>
    <row r="134" spans="1:37" ht="12.75" customHeight="1">
      <c r="A134" s="70" t="s">
        <v>172</v>
      </c>
      <c r="B134" s="77">
        <f t="shared" ref="B134:B135" si="58">ABS(B113)</f>
        <v>3.5498717090150025E-3</v>
      </c>
      <c r="C134" s="77">
        <f>B139</f>
        <v>6.9312902997016991E-4</v>
      </c>
      <c r="D134" s="185" t="s">
        <v>173</v>
      </c>
      <c r="E134" s="186" t="s">
        <v>174</v>
      </c>
      <c r="F134" s="186"/>
      <c r="G134" s="186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  <c r="AC134" s="2"/>
      <c r="AD134" s="2"/>
      <c r="AE134" s="2"/>
      <c r="AF134" s="2"/>
      <c r="AG134" s="2"/>
      <c r="AH134" s="2"/>
      <c r="AI134" s="2"/>
      <c r="AJ134" s="2"/>
      <c r="AK134" s="2"/>
    </row>
    <row r="135" spans="1:37" ht="12.75" customHeight="1">
      <c r="A135" s="70" t="s">
        <v>175</v>
      </c>
      <c r="B135" s="77">
        <f t="shared" si="58"/>
        <v>0.27293776130001796</v>
      </c>
      <c r="C135" s="77">
        <f>B140</f>
        <v>6.3213666986378907E-3</v>
      </c>
      <c r="D135" s="175"/>
      <c r="E135" s="186"/>
      <c r="F135" s="186"/>
      <c r="G135" s="186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  <c r="AC135" s="2"/>
      <c r="AD135" s="2"/>
      <c r="AE135" s="2"/>
      <c r="AF135" s="2"/>
      <c r="AG135" s="2"/>
      <c r="AH135" s="2"/>
      <c r="AI135" s="2"/>
      <c r="AJ135" s="2"/>
      <c r="AK135" s="2"/>
    </row>
    <row r="136" spans="1:37" ht="12.7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  <c r="AC136" s="2"/>
      <c r="AD136" s="2"/>
      <c r="AE136" s="2"/>
      <c r="AF136" s="2"/>
      <c r="AG136" s="2"/>
      <c r="AH136" s="2"/>
      <c r="AI136" s="2"/>
      <c r="AJ136" s="2"/>
      <c r="AK136" s="2"/>
    </row>
    <row r="137" spans="1:37" ht="12.75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  <c r="AC137" s="2"/>
      <c r="AD137" s="2"/>
      <c r="AE137" s="2"/>
      <c r="AF137" s="2"/>
      <c r="AG137" s="2"/>
      <c r="AH137" s="2"/>
      <c r="AI137" s="2"/>
      <c r="AJ137" s="2"/>
      <c r="AK137" s="2"/>
    </row>
    <row r="138" spans="1:37" ht="12.75">
      <c r="A138" s="80" t="s">
        <v>176</v>
      </c>
      <c r="B138" s="27">
        <f>_xlfn.T.DIST(0.05,85,1)</f>
        <v>0.51988015245102381</v>
      </c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  <c r="AC138" s="2"/>
      <c r="AD138" s="2"/>
      <c r="AE138" s="2"/>
      <c r="AF138" s="2"/>
      <c r="AG138" s="2"/>
      <c r="AH138" s="2"/>
      <c r="AI138" s="2"/>
      <c r="AJ138" s="2"/>
      <c r="AK138" s="2"/>
    </row>
    <row r="139" spans="1:37" ht="12.75">
      <c r="A139" s="80" t="s">
        <v>177</v>
      </c>
      <c r="B139" s="27">
        <f>B138*B132</f>
        <v>6.9312902997016991E-4</v>
      </c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  <c r="AC139" s="2"/>
      <c r="AD139" s="2"/>
      <c r="AE139" s="2"/>
      <c r="AF139" s="2"/>
      <c r="AG139" s="2"/>
      <c r="AH139" s="2"/>
      <c r="AI139" s="2"/>
      <c r="AJ139" s="2"/>
      <c r="AK139" s="2"/>
    </row>
    <row r="140" spans="1:37" ht="12.75">
      <c r="A140" s="80" t="s">
        <v>178</v>
      </c>
      <c r="B140" s="27">
        <f>B138*B133</f>
        <v>6.3213666986378907E-3</v>
      </c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  <c r="AC140" s="2"/>
      <c r="AD140" s="2"/>
      <c r="AE140" s="2"/>
      <c r="AF140" s="2"/>
      <c r="AG140" s="2"/>
      <c r="AH140" s="2"/>
      <c r="AI140" s="2"/>
      <c r="AJ140" s="2"/>
      <c r="AK140" s="2"/>
    </row>
    <row r="141" spans="1:37" ht="12.75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  <c r="AC141" s="2"/>
      <c r="AD141" s="2"/>
      <c r="AE141" s="2"/>
      <c r="AF141" s="2"/>
      <c r="AG141" s="2"/>
      <c r="AH141" s="2"/>
      <c r="AI141" s="2"/>
      <c r="AJ141" s="2"/>
      <c r="AK141" s="2"/>
    </row>
    <row r="142" spans="1:37" ht="15">
      <c r="A142" s="165" t="s">
        <v>8</v>
      </c>
      <c r="B142" s="166"/>
      <c r="C142" s="167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  <c r="AC142" s="2"/>
      <c r="AD142" s="2"/>
      <c r="AE142" s="2"/>
      <c r="AF142" s="2"/>
      <c r="AG142" s="2"/>
      <c r="AH142" s="2"/>
      <c r="AI142" s="2"/>
      <c r="AJ142" s="2"/>
      <c r="AK142" s="2"/>
    </row>
    <row r="143" spans="1:37" ht="15">
      <c r="A143" s="81">
        <f t="shared" ref="A143:A144" si="59">B113-B139</f>
        <v>2.8567426790448327E-3</v>
      </c>
      <c r="B143" s="82" t="s">
        <v>179</v>
      </c>
      <c r="C143" s="81">
        <f t="shared" ref="C143:C144" si="60">B113+B139</f>
        <v>4.2430007389851728E-3</v>
      </c>
      <c r="D143" s="33"/>
      <c r="E143" s="33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  <c r="AC143" s="2"/>
      <c r="AD143" s="2"/>
      <c r="AE143" s="2"/>
      <c r="AF143" s="2"/>
      <c r="AG143" s="2"/>
      <c r="AH143" s="2"/>
      <c r="AI143" s="2"/>
      <c r="AJ143" s="2"/>
      <c r="AK143" s="2"/>
    </row>
    <row r="144" spans="1:37" ht="15">
      <c r="A144" s="83">
        <f t="shared" si="59"/>
        <v>0.26661639460138009</v>
      </c>
      <c r="B144" s="84" t="s">
        <v>180</v>
      </c>
      <c r="C144" s="85">
        <f t="shared" si="60"/>
        <v>0.27925912799865582</v>
      </c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  <c r="AC144" s="2"/>
      <c r="AD144" s="2"/>
      <c r="AE144" s="2"/>
      <c r="AF144" s="2"/>
      <c r="AG144" s="2"/>
      <c r="AH144" s="2"/>
      <c r="AI144" s="2"/>
      <c r="AJ144" s="2"/>
      <c r="AK144" s="2"/>
    </row>
    <row r="145" spans="1:37" ht="12.7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  <c r="AC145" s="2"/>
      <c r="AD145" s="2"/>
      <c r="AE145" s="2"/>
      <c r="AF145" s="2"/>
      <c r="AG145" s="2"/>
      <c r="AH145" s="2"/>
      <c r="AI145" s="2"/>
      <c r="AJ145" s="2"/>
      <c r="AK145" s="2"/>
    </row>
    <row r="146" spans="1:37" ht="12.75">
      <c r="A146" s="37" t="s">
        <v>181</v>
      </c>
      <c r="B146" s="59">
        <f>SUM(Y1:Y86)/SUM(V1:V86)</f>
        <v>7.8675629199920596E-4</v>
      </c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  <c r="AC146" s="2"/>
      <c r="AD146" s="2"/>
      <c r="AE146" s="2"/>
      <c r="AF146" s="2"/>
      <c r="AG146" s="2"/>
      <c r="AH146" s="2"/>
      <c r="AI146" s="2"/>
      <c r="AJ146" s="2"/>
      <c r="AK146" s="2"/>
    </row>
    <row r="147" spans="1:37" ht="12.75">
      <c r="A147" s="37" t="s">
        <v>182</v>
      </c>
      <c r="B147" s="59">
        <v>1.65</v>
      </c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  <c r="AC147" s="2"/>
      <c r="AD147" s="2"/>
      <c r="AE147" s="2"/>
      <c r="AF147" s="2"/>
      <c r="AG147" s="2"/>
      <c r="AH147" s="2"/>
      <c r="AI147" s="2"/>
      <c r="AJ147" s="2"/>
      <c r="AK147" s="2"/>
    </row>
    <row r="148" spans="1:37" ht="12.75">
      <c r="A148" s="37" t="s">
        <v>183</v>
      </c>
      <c r="B148" s="59">
        <v>1.69</v>
      </c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  <c r="AC148" s="2"/>
      <c r="AD148" s="2"/>
      <c r="AE148" s="2"/>
      <c r="AF148" s="2"/>
      <c r="AG148" s="2"/>
      <c r="AH148" s="2"/>
      <c r="AI148" s="2"/>
      <c r="AJ148" s="2"/>
      <c r="AK148" s="2"/>
    </row>
    <row r="149" spans="1:37" ht="15">
      <c r="A149" s="2"/>
      <c r="B149" s="2"/>
      <c r="C149" s="2"/>
      <c r="D149" s="10" t="s">
        <v>184</v>
      </c>
      <c r="E149" s="138">
        <f>AVERAGE(E164:E259)</f>
        <v>1.8792065665233088E-4</v>
      </c>
      <c r="F149" s="2"/>
      <c r="G149" s="2"/>
      <c r="H149" s="2"/>
      <c r="I149" s="2"/>
      <c r="J149" s="87" t="s">
        <v>185</v>
      </c>
      <c r="K149" s="87" t="s">
        <v>186</v>
      </c>
      <c r="L149" s="87" t="s">
        <v>4</v>
      </c>
      <c r="M149" s="87" t="s">
        <v>187</v>
      </c>
      <c r="N149" s="87" t="s">
        <v>188</v>
      </c>
      <c r="O149" s="87" t="s">
        <v>189</v>
      </c>
      <c r="P149" s="87" t="s">
        <v>126</v>
      </c>
      <c r="Q149" s="88" t="s">
        <v>126</v>
      </c>
      <c r="R149" s="184" t="s">
        <v>214</v>
      </c>
      <c r="S149" s="175"/>
      <c r="T149" s="175"/>
      <c r="U149" s="2"/>
      <c r="V149" s="2"/>
      <c r="W149" s="2"/>
      <c r="X149" s="2"/>
      <c r="Y149" s="2"/>
      <c r="Z149" s="2"/>
      <c r="AA149" s="2"/>
      <c r="AB149" s="2"/>
      <c r="AC149" s="2"/>
      <c r="AD149" s="2"/>
      <c r="AE149" s="2"/>
      <c r="AF149" s="2"/>
      <c r="AG149" s="2"/>
      <c r="AH149" s="2"/>
      <c r="AI149" s="2"/>
      <c r="AJ149" s="2"/>
      <c r="AK149" s="2"/>
    </row>
    <row r="150" spans="1:37" ht="15">
      <c r="A150" s="2"/>
      <c r="B150" s="2"/>
      <c r="C150" s="2"/>
      <c r="D150" s="10" t="s">
        <v>116</v>
      </c>
      <c r="E150" s="89">
        <f>VARP(R2:R86)</f>
        <v>1.9520078807182251E-3</v>
      </c>
      <c r="F150" s="2"/>
      <c r="G150" s="17">
        <f>STDEV(R2:R86)</f>
        <v>4.4443740501609388E-2</v>
      </c>
      <c r="H150" s="68" t="s">
        <v>122</v>
      </c>
      <c r="I150" s="2"/>
      <c r="J150" s="90">
        <f>E153</f>
        <v>-0.10163795408516654</v>
      </c>
      <c r="K150" s="91">
        <f>J150+E155</f>
        <v>-5.9926575424651768E-2</v>
      </c>
      <c r="L150" s="92">
        <v>32</v>
      </c>
      <c r="M150" s="93">
        <f t="shared" ref="M150:M157" si="61">_xlfn.NORM.DIST(K150,$E$149,$E$151,1)-_xlfn.NORM.DIST(J150,$E$149,$E$151,1)</f>
        <v>7.6224873168046492E-2</v>
      </c>
      <c r="N150" s="92">
        <f t="shared" ref="N150:N157" si="62">L150*M150</f>
        <v>2.4391959413774877</v>
      </c>
      <c r="O150" s="92">
        <f t="shared" ref="O150:O157" si="63">(L150-N150)^2</f>
        <v>873.84113659227319</v>
      </c>
      <c r="P150" s="92">
        <f t="shared" ref="P150:P154" si="64">O150/N150</f>
        <v>358.24966816679296</v>
      </c>
      <c r="Q150" s="17">
        <f>SUM(P150:P157)</f>
        <v>246316.75094303492</v>
      </c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  <c r="AC150" s="2"/>
      <c r="AD150" s="2"/>
      <c r="AE150" s="2"/>
      <c r="AF150" s="2"/>
      <c r="AG150" s="2"/>
      <c r="AH150" s="2"/>
      <c r="AI150" s="2"/>
      <c r="AJ150" s="2"/>
      <c r="AK150" s="2"/>
    </row>
    <row r="151" spans="1:37" ht="15">
      <c r="A151" s="2"/>
      <c r="B151" s="2"/>
      <c r="C151" s="2"/>
      <c r="D151" s="10" t="s">
        <v>122</v>
      </c>
      <c r="E151" s="21">
        <f>SQRT(E150)</f>
        <v>4.4181533254497009E-2</v>
      </c>
      <c r="F151" s="2"/>
      <c r="G151" s="2"/>
      <c r="H151" s="2"/>
      <c r="I151" s="2"/>
      <c r="J151" s="94">
        <f t="shared" ref="J151:J157" si="65">K150</f>
        <v>-5.9926575424651768E-2</v>
      </c>
      <c r="K151" s="95">
        <f t="shared" ref="K151:K157" si="66">J151+$E$155</f>
        <v>-1.8215196764136993E-2</v>
      </c>
      <c r="L151" s="96">
        <v>39</v>
      </c>
      <c r="M151" s="97">
        <f t="shared" si="61"/>
        <v>0.25169346881971694</v>
      </c>
      <c r="N151" s="96">
        <f t="shared" si="62"/>
        <v>9.8160452839689611</v>
      </c>
      <c r="O151" s="96">
        <f t="shared" si="63"/>
        <v>851.70321286735032</v>
      </c>
      <c r="P151" s="98">
        <f t="shared" si="64"/>
        <v>86.766430698756693</v>
      </c>
      <c r="Q151" s="99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  <c r="AC151" s="2"/>
      <c r="AD151" s="2"/>
      <c r="AE151" s="2"/>
      <c r="AF151" s="2"/>
      <c r="AG151" s="2"/>
      <c r="AH151" s="2"/>
      <c r="AI151" s="2"/>
      <c r="AJ151" s="2"/>
      <c r="AK151" s="2"/>
    </row>
    <row r="152" spans="1:37" ht="15">
      <c r="A152" s="2"/>
      <c r="B152" s="2"/>
      <c r="C152" s="2"/>
      <c r="D152" s="10" t="s">
        <v>190</v>
      </c>
      <c r="E152" s="21">
        <v>7</v>
      </c>
      <c r="F152" s="2"/>
      <c r="G152" s="2"/>
      <c r="H152" s="2"/>
      <c r="I152" s="2"/>
      <c r="J152" s="94">
        <f t="shared" si="65"/>
        <v>-1.8215196764136993E-2</v>
      </c>
      <c r="K152" s="95">
        <f t="shared" si="66"/>
        <v>2.3496181896377782E-2</v>
      </c>
      <c r="L152" s="96">
        <v>13</v>
      </c>
      <c r="M152" s="97">
        <f t="shared" si="61"/>
        <v>0.36258686115832983</v>
      </c>
      <c r="N152" s="96">
        <f t="shared" si="62"/>
        <v>4.7136291950582878</v>
      </c>
      <c r="O152" s="96">
        <f t="shared" si="63"/>
        <v>68.663941116990344</v>
      </c>
      <c r="P152" s="98">
        <f t="shared" si="64"/>
        <v>14.567107058182852</v>
      </c>
      <c r="Q152" s="39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  <c r="AC152" s="2"/>
      <c r="AD152" s="2"/>
      <c r="AE152" s="2"/>
      <c r="AF152" s="2"/>
      <c r="AG152" s="2"/>
      <c r="AH152" s="2"/>
      <c r="AI152" s="2"/>
      <c r="AJ152" s="2"/>
      <c r="AK152" s="2"/>
    </row>
    <row r="153" spans="1:37" ht="15">
      <c r="A153" s="2"/>
      <c r="B153" s="2"/>
      <c r="C153" s="2"/>
      <c r="D153" s="10" t="s">
        <v>191</v>
      </c>
      <c r="E153" s="86">
        <f>MIN(R2:R86)</f>
        <v>-0.10163795408516654</v>
      </c>
      <c r="F153" s="2"/>
      <c r="G153" s="2"/>
      <c r="H153" s="2"/>
      <c r="I153" s="2"/>
      <c r="J153" s="94">
        <f t="shared" si="65"/>
        <v>2.3496181896377782E-2</v>
      </c>
      <c r="K153" s="95">
        <f t="shared" si="66"/>
        <v>6.5207560556892558E-2</v>
      </c>
      <c r="L153" s="96">
        <v>6</v>
      </c>
      <c r="M153" s="97">
        <f t="shared" si="61"/>
        <v>0.2283454921013065</v>
      </c>
      <c r="N153" s="96">
        <f t="shared" si="62"/>
        <v>1.370072952607839</v>
      </c>
      <c r="O153" s="96">
        <f t="shared" si="63"/>
        <v>21.436224464173492</v>
      </c>
      <c r="P153" s="98">
        <f t="shared" si="64"/>
        <v>15.646046017747539</v>
      </c>
      <c r="Q153" s="39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  <c r="AC153" s="2"/>
      <c r="AD153" s="2"/>
      <c r="AE153" s="2"/>
      <c r="AF153" s="2"/>
      <c r="AG153" s="2"/>
      <c r="AH153" s="2"/>
      <c r="AI153" s="2"/>
      <c r="AJ153" s="2"/>
      <c r="AK153" s="2"/>
    </row>
    <row r="154" spans="1:37" ht="15">
      <c r="A154" s="2"/>
      <c r="B154" s="2"/>
      <c r="C154" s="2"/>
      <c r="D154" s="10" t="s">
        <v>192</v>
      </c>
      <c r="E154" s="86">
        <f>MAX(R2:R86)</f>
        <v>0.19034169653843691</v>
      </c>
      <c r="F154" s="2"/>
      <c r="G154" s="2"/>
      <c r="H154" s="2"/>
      <c r="I154" s="2"/>
      <c r="J154" s="94">
        <f t="shared" si="65"/>
        <v>6.5207560556892558E-2</v>
      </c>
      <c r="K154" s="95">
        <f t="shared" si="66"/>
        <v>0.10691893921740733</v>
      </c>
      <c r="L154" s="96">
        <v>2</v>
      </c>
      <c r="M154" s="97">
        <f t="shared" si="61"/>
        <v>6.2706381833877778E-2</v>
      </c>
      <c r="N154" s="96">
        <f t="shared" si="62"/>
        <v>0.12541276366775556</v>
      </c>
      <c r="O154" s="96">
        <f t="shared" si="63"/>
        <v>3.5140773066197619</v>
      </c>
      <c r="P154" s="98">
        <f t="shared" si="64"/>
        <v>28.020093041959289</v>
      </c>
      <c r="Q154" s="39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  <c r="AC154" s="2"/>
      <c r="AD154" s="2"/>
      <c r="AE154" s="2"/>
      <c r="AF154" s="2"/>
      <c r="AG154" s="2"/>
      <c r="AH154" s="2"/>
      <c r="AI154" s="2"/>
      <c r="AJ154" s="2"/>
      <c r="AK154" s="2"/>
    </row>
    <row r="155" spans="1:37" ht="15">
      <c r="A155" s="100" t="s">
        <v>41</v>
      </c>
      <c r="B155" s="17">
        <f>MAX(X2:X87)</f>
        <v>4.3451307294701165</v>
      </c>
      <c r="C155" s="2"/>
      <c r="D155" s="10" t="s">
        <v>193</v>
      </c>
      <c r="E155" s="21">
        <f>(E154-E153)/E152</f>
        <v>4.1711378660514775E-2</v>
      </c>
      <c r="F155" s="2"/>
      <c r="G155" s="2"/>
      <c r="H155" s="2"/>
      <c r="I155" s="2"/>
      <c r="J155" s="94">
        <f t="shared" si="65"/>
        <v>0.10691893921740733</v>
      </c>
      <c r="K155" s="95">
        <f t="shared" si="66"/>
        <v>0.14863031787792211</v>
      </c>
      <c r="L155" s="96">
        <v>0</v>
      </c>
      <c r="M155" s="97">
        <f t="shared" si="61"/>
        <v>7.4617196682836839E-3</v>
      </c>
      <c r="N155" s="139">
        <f t="shared" si="62"/>
        <v>0</v>
      </c>
      <c r="O155" s="139">
        <f t="shared" si="63"/>
        <v>0</v>
      </c>
      <c r="P155" s="140">
        <v>0</v>
      </c>
      <c r="Q155" s="39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  <c r="AC155" s="2"/>
      <c r="AD155" s="2"/>
      <c r="AE155" s="2"/>
      <c r="AF155" s="2"/>
      <c r="AG155" s="2"/>
      <c r="AH155" s="2"/>
      <c r="AI155" s="2"/>
      <c r="AJ155" s="2"/>
      <c r="AK155" s="2"/>
    </row>
    <row r="156" spans="1:37" ht="15">
      <c r="A156" s="100" t="s">
        <v>194</v>
      </c>
      <c r="B156" s="17">
        <v>3.4</v>
      </c>
      <c r="C156" s="153" t="s">
        <v>195</v>
      </c>
      <c r="D156" s="2"/>
      <c r="E156" s="2"/>
      <c r="F156" s="2"/>
      <c r="G156" s="2"/>
      <c r="H156" s="2"/>
      <c r="I156" s="2"/>
      <c r="J156" s="94">
        <f t="shared" si="65"/>
        <v>0.14863031787792211</v>
      </c>
      <c r="K156" s="95">
        <f t="shared" si="66"/>
        <v>0.19034169653843688</v>
      </c>
      <c r="L156" s="96">
        <v>2</v>
      </c>
      <c r="M156" s="97">
        <f t="shared" si="61"/>
        <v>3.8156350664120264E-4</v>
      </c>
      <c r="N156" s="96">
        <f t="shared" si="62"/>
        <v>7.6312701328240529E-4</v>
      </c>
      <c r="O156" s="96">
        <f t="shared" si="63"/>
        <v>3.9969480743097088</v>
      </c>
      <c r="P156" s="98">
        <f t="shared" ref="P156:P157" si="67">O156/N156</f>
        <v>5237.5921763243687</v>
      </c>
      <c r="Q156" s="39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  <c r="AC156" s="2"/>
      <c r="AD156" s="2"/>
      <c r="AE156" s="2"/>
      <c r="AF156" s="2"/>
      <c r="AG156" s="2"/>
      <c r="AH156" s="2"/>
      <c r="AI156" s="2"/>
      <c r="AJ156" s="2"/>
      <c r="AK156" s="2"/>
    </row>
    <row r="157" spans="1:37" ht="15">
      <c r="A157" s="168"/>
      <c r="B157" s="169"/>
      <c r="C157" s="2"/>
      <c r="D157" s="2"/>
      <c r="E157" s="2"/>
      <c r="F157" s="2"/>
      <c r="G157" s="2"/>
      <c r="H157" s="2"/>
      <c r="I157" s="2"/>
      <c r="J157" s="101">
        <f t="shared" si="65"/>
        <v>0.19034169653843688</v>
      </c>
      <c r="K157" s="102">
        <f t="shared" si="66"/>
        <v>0.23205307519895166</v>
      </c>
      <c r="L157" s="103">
        <v>2</v>
      </c>
      <c r="M157" s="104">
        <f t="shared" si="61"/>
        <v>8.3132461266011148E-6</v>
      </c>
      <c r="N157" s="103">
        <f t="shared" si="62"/>
        <v>1.662649225320223E-5</v>
      </c>
      <c r="O157" s="103">
        <f t="shared" si="63"/>
        <v>3.9999334943074274</v>
      </c>
      <c r="P157" s="105">
        <f t="shared" si="67"/>
        <v>240575.90942172712</v>
      </c>
      <c r="Q157" s="39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  <c r="AC157" s="2"/>
      <c r="AD157" s="2"/>
      <c r="AE157" s="2"/>
      <c r="AF157" s="2"/>
      <c r="AG157" s="2"/>
      <c r="AH157" s="2"/>
      <c r="AI157" s="2"/>
      <c r="AJ157" s="2"/>
      <c r="AK157" s="2"/>
    </row>
    <row r="158" spans="1:37" ht="15">
      <c r="A158" s="170"/>
      <c r="B158" s="171"/>
      <c r="C158" s="2"/>
      <c r="D158" s="2"/>
      <c r="E158" s="2"/>
      <c r="F158" s="2"/>
      <c r="G158" s="2"/>
      <c r="H158" s="2"/>
      <c r="I158" s="2"/>
      <c r="J158" s="34"/>
      <c r="K158" s="34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  <c r="AC158" s="2"/>
      <c r="AD158" s="2"/>
      <c r="AE158" s="2"/>
      <c r="AF158" s="2"/>
      <c r="AG158" s="2"/>
      <c r="AH158" s="2"/>
      <c r="AI158" s="2"/>
      <c r="AJ158" s="2"/>
      <c r="AK158" s="2"/>
    </row>
    <row r="159" spans="1:37" ht="15">
      <c r="A159" s="172"/>
      <c r="B159" s="173"/>
      <c r="C159" s="2"/>
      <c r="D159" s="2"/>
      <c r="E159" s="2"/>
      <c r="F159" s="2"/>
      <c r="G159" s="2"/>
      <c r="H159" s="2"/>
      <c r="I159" s="2"/>
      <c r="J159" s="34"/>
      <c r="K159" s="34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  <c r="AC159" s="2"/>
      <c r="AD159" s="2"/>
      <c r="AE159" s="2"/>
      <c r="AF159" s="2"/>
      <c r="AG159" s="2"/>
      <c r="AH159" s="2"/>
      <c r="AI159" s="2"/>
      <c r="AJ159" s="2"/>
      <c r="AK159" s="2"/>
    </row>
    <row r="160" spans="1:37" ht="15">
      <c r="A160" s="2"/>
      <c r="B160" s="2"/>
      <c r="C160" s="2"/>
      <c r="D160" s="2"/>
      <c r="E160" s="2"/>
      <c r="F160" s="2"/>
      <c r="G160" s="2"/>
      <c r="H160" s="2"/>
      <c r="I160" s="106" t="s">
        <v>196</v>
      </c>
      <c r="J160" s="86">
        <f>(1/85)*SUM(AE2:AE97)</f>
        <v>0</v>
      </c>
      <c r="K160" s="34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  <c r="AC160" s="2"/>
      <c r="AD160" s="2"/>
      <c r="AE160" s="2"/>
      <c r="AF160" s="2"/>
      <c r="AG160" s="2"/>
      <c r="AH160" s="2"/>
      <c r="AI160" s="2"/>
      <c r="AJ160" s="2"/>
      <c r="AK160" s="2"/>
    </row>
    <row r="161" spans="1:37" ht="15">
      <c r="A161" s="2"/>
      <c r="B161" s="2"/>
      <c r="C161" s="2"/>
      <c r="D161" s="2"/>
      <c r="E161" s="2"/>
      <c r="F161" s="2"/>
      <c r="G161" s="2"/>
      <c r="H161" s="2"/>
      <c r="I161" s="106" t="s">
        <v>168</v>
      </c>
      <c r="J161" s="86">
        <v>0</v>
      </c>
      <c r="K161" s="34"/>
      <c r="L161" s="107" t="s">
        <v>197</v>
      </c>
      <c r="M161" s="21">
        <f>SQRT(B131)</f>
        <v>3.6253336226384083</v>
      </c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  <c r="AC161" s="2"/>
      <c r="AD161" s="2"/>
      <c r="AE161" s="2"/>
      <c r="AF161" s="2"/>
      <c r="AG161" s="2"/>
      <c r="AH161" s="2"/>
      <c r="AI161" s="2"/>
      <c r="AJ161" s="2"/>
      <c r="AK161" s="2"/>
    </row>
    <row r="162" spans="1:37" ht="15">
      <c r="A162" s="2"/>
      <c r="B162" s="2"/>
      <c r="C162" s="2"/>
      <c r="D162" s="2"/>
      <c r="E162" s="34"/>
      <c r="F162" s="2"/>
      <c r="G162" s="2"/>
      <c r="H162" s="2"/>
      <c r="I162" s="106" t="s">
        <v>198</v>
      </c>
      <c r="J162" s="21">
        <f>(85*SUM(P2:P86))/SUM(Z2:Z86)</f>
        <v>-82.392128691658883</v>
      </c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  <c r="AC162" s="2"/>
      <c r="AD162" s="2"/>
      <c r="AE162" s="2"/>
      <c r="AF162" s="2"/>
      <c r="AG162" s="2"/>
      <c r="AH162" s="2"/>
      <c r="AI162" s="2"/>
      <c r="AJ162" s="2"/>
      <c r="AK162" s="2"/>
    </row>
    <row r="163" spans="1:37" ht="15">
      <c r="A163" s="2"/>
      <c r="B163" s="2"/>
      <c r="C163" s="2"/>
      <c r="D163" s="2"/>
      <c r="E163" s="34"/>
      <c r="F163" s="2"/>
      <c r="G163" s="2"/>
      <c r="H163" s="2"/>
      <c r="I163" s="108" t="s">
        <v>3</v>
      </c>
      <c r="J163" s="21">
        <v>1.863</v>
      </c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  <c r="AC163" s="2"/>
      <c r="AD163" s="2"/>
      <c r="AE163" s="2"/>
      <c r="AF163" s="2"/>
      <c r="AG163" s="2"/>
      <c r="AH163" s="2"/>
      <c r="AI163" s="2"/>
      <c r="AJ163" s="2"/>
      <c r="AK163" s="2"/>
    </row>
    <row r="164" spans="1:37" ht="15">
      <c r="A164" s="2"/>
      <c r="B164" s="2"/>
      <c r="C164" s="2"/>
      <c r="D164" s="2"/>
      <c r="E164" s="34">
        <f>J150</f>
        <v>-0.10163795408516654</v>
      </c>
      <c r="F164" s="109"/>
      <c r="G164" s="2"/>
      <c r="H164" s="2"/>
      <c r="I164" s="108" t="s">
        <v>199</v>
      </c>
      <c r="J164" s="21">
        <f>NORMSINV(0.85)</f>
        <v>1.0364333894937898</v>
      </c>
      <c r="K164" s="174" t="s">
        <v>200</v>
      </c>
      <c r="L164" s="175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  <c r="AC164" s="2"/>
      <c r="AD164" s="2"/>
      <c r="AE164" s="2"/>
      <c r="AF164" s="2"/>
      <c r="AG164" s="2"/>
      <c r="AH164" s="2"/>
      <c r="AI164" s="2"/>
      <c r="AJ164" s="2"/>
      <c r="AK164" s="2"/>
    </row>
    <row r="165" spans="1:37" ht="15">
      <c r="A165" s="2"/>
      <c r="B165" s="2"/>
      <c r="C165" s="2"/>
      <c r="D165" s="2"/>
      <c r="E165" s="34">
        <v>-0.1120764754646757</v>
      </c>
      <c r="F165" s="109"/>
      <c r="G165" s="2"/>
      <c r="H165" s="2"/>
      <c r="I165" s="2" t="s">
        <v>201</v>
      </c>
      <c r="J165" s="2" t="s">
        <v>202</v>
      </c>
      <c r="K165" s="2" t="s">
        <v>203</v>
      </c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  <c r="AC165" s="2"/>
      <c r="AD165" s="2"/>
      <c r="AE165" s="2"/>
      <c r="AF165" s="2"/>
      <c r="AG165" s="2"/>
      <c r="AH165" s="2"/>
      <c r="AI165" s="2"/>
      <c r="AJ165" s="2"/>
      <c r="AK165" s="2"/>
    </row>
    <row r="166" spans="1:37" ht="15">
      <c r="A166" s="2"/>
      <c r="B166" s="2"/>
      <c r="C166" s="2"/>
      <c r="D166" s="2"/>
      <c r="E166" s="34">
        <v>-0.11053184091243029</v>
      </c>
      <c r="F166" s="109"/>
      <c r="G166" s="2"/>
      <c r="H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  <c r="AC166" s="2"/>
      <c r="AD166" s="2"/>
      <c r="AE166" s="2"/>
      <c r="AF166" s="2"/>
      <c r="AG166" s="2"/>
      <c r="AH166" s="2"/>
      <c r="AI166" s="2"/>
      <c r="AJ166" s="2"/>
      <c r="AK166" s="2"/>
    </row>
    <row r="167" spans="1:37" ht="15">
      <c r="A167" s="2"/>
      <c r="B167" s="2"/>
      <c r="C167" s="2"/>
      <c r="D167" s="2"/>
      <c r="E167" s="34">
        <v>-0.10877649432189562</v>
      </c>
      <c r="F167" s="109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  <c r="AC167" s="2"/>
      <c r="AD167" s="2"/>
      <c r="AE167" s="2"/>
      <c r="AF167" s="2"/>
      <c r="AG167" s="2"/>
      <c r="AH167" s="2"/>
      <c r="AI167" s="2"/>
      <c r="AJ167" s="2"/>
      <c r="AK167" s="2"/>
    </row>
    <row r="168" spans="1:37" ht="15">
      <c r="A168" s="2"/>
      <c r="B168" s="2"/>
      <c r="C168" s="2"/>
      <c r="D168" s="2"/>
      <c r="E168" s="34">
        <v>-0.10853842632887489</v>
      </c>
      <c r="F168" s="109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  <c r="AC168" s="2"/>
      <c r="AD168" s="2"/>
      <c r="AE168" s="2"/>
      <c r="AF168" s="2"/>
      <c r="AG168" s="2"/>
      <c r="AH168" s="2"/>
      <c r="AI168" s="2"/>
      <c r="AJ168" s="2"/>
      <c r="AK168" s="2"/>
    </row>
    <row r="169" spans="1:37" ht="24.75" customHeight="1">
      <c r="A169" s="2"/>
      <c r="B169" s="2"/>
      <c r="C169" s="2"/>
      <c r="D169" s="2"/>
      <c r="E169" s="34">
        <v>-0.10540443607777905</v>
      </c>
      <c r="F169" s="109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  <c r="AC169" s="2"/>
      <c r="AD169" s="2"/>
      <c r="AE169" s="2"/>
      <c r="AF169" s="2"/>
      <c r="AG169" s="2"/>
      <c r="AH169" s="2"/>
      <c r="AI169" s="2"/>
      <c r="AJ169" s="2"/>
      <c r="AK169" s="2"/>
    </row>
    <row r="170" spans="1:37" ht="15">
      <c r="A170" s="2"/>
      <c r="B170" s="2"/>
      <c r="C170" s="2"/>
      <c r="D170" s="2"/>
      <c r="E170" s="34">
        <v>-0.10163352071622855</v>
      </c>
      <c r="F170" s="109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  <c r="AC170" s="2"/>
      <c r="AD170" s="2"/>
      <c r="AE170" s="2"/>
      <c r="AF170" s="2"/>
      <c r="AG170" s="2"/>
      <c r="AH170" s="2"/>
      <c r="AI170" s="2"/>
      <c r="AJ170" s="2"/>
      <c r="AK170" s="2"/>
    </row>
    <row r="171" spans="1:37" ht="15">
      <c r="A171" s="2"/>
      <c r="B171" s="2"/>
      <c r="C171" s="2"/>
      <c r="D171" s="2"/>
      <c r="E171" s="34">
        <v>-0.10141360625190887</v>
      </c>
      <c r="F171" s="109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  <c r="AC171" s="2"/>
      <c r="AD171" s="2"/>
      <c r="AE171" s="2"/>
      <c r="AF171" s="2"/>
      <c r="AG171" s="2"/>
      <c r="AH171" s="2"/>
      <c r="AI171" s="2"/>
      <c r="AJ171" s="2"/>
      <c r="AK171" s="2"/>
    </row>
    <row r="172" spans="1:37" ht="15">
      <c r="A172" s="2"/>
      <c r="B172" s="2"/>
      <c r="C172" s="2"/>
      <c r="D172" s="2"/>
      <c r="E172" s="34">
        <v>-9.9910824190382552E-2</v>
      </c>
      <c r="F172" s="109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  <c r="AC172" s="2"/>
      <c r="AD172" s="2"/>
      <c r="AE172" s="2"/>
      <c r="AF172" s="2"/>
      <c r="AG172" s="2"/>
      <c r="AH172" s="2"/>
      <c r="AI172" s="2"/>
      <c r="AJ172" s="2"/>
      <c r="AK172" s="2"/>
    </row>
    <row r="173" spans="1:37" ht="15">
      <c r="A173" s="2"/>
      <c r="B173" s="2"/>
      <c r="C173" s="2"/>
      <c r="D173" s="2"/>
      <c r="E173" s="34">
        <v>-9.7245349440469919E-2</v>
      </c>
      <c r="F173" s="109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  <c r="AC173" s="2"/>
      <c r="AD173" s="2"/>
      <c r="AE173" s="2"/>
      <c r="AF173" s="2"/>
      <c r="AG173" s="2"/>
      <c r="AH173" s="2"/>
      <c r="AI173" s="2"/>
      <c r="AJ173" s="2"/>
      <c r="AK173" s="2"/>
    </row>
    <row r="174" spans="1:37" ht="15">
      <c r="A174" s="2"/>
      <c r="B174" s="2"/>
      <c r="C174" s="2"/>
      <c r="D174" s="2"/>
      <c r="E174" s="34">
        <v>-9.6496251844119585E-2</v>
      </c>
      <c r="F174" s="109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  <c r="AC174" s="2"/>
      <c r="AD174" s="2"/>
      <c r="AE174" s="2"/>
      <c r="AF174" s="2"/>
      <c r="AG174" s="2"/>
      <c r="AH174" s="2"/>
      <c r="AI174" s="2"/>
      <c r="AJ174" s="2"/>
      <c r="AK174" s="2"/>
    </row>
    <row r="175" spans="1:37" ht="15">
      <c r="A175" s="2"/>
      <c r="B175" s="2"/>
      <c r="C175" s="2"/>
      <c r="D175" s="2"/>
      <c r="E175" s="34">
        <v>-8.4966390788308144E-2</v>
      </c>
      <c r="F175" s="109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  <c r="AC175" s="2"/>
      <c r="AD175" s="2"/>
      <c r="AE175" s="2"/>
      <c r="AF175" s="2"/>
      <c r="AG175" s="2"/>
      <c r="AH175" s="2"/>
      <c r="AI175" s="2"/>
      <c r="AJ175" s="2"/>
      <c r="AK175" s="2"/>
    </row>
    <row r="176" spans="1:37" ht="15">
      <c r="A176" s="2"/>
      <c r="B176" s="2"/>
      <c r="C176" s="2"/>
      <c r="D176" s="2"/>
      <c r="E176" s="34">
        <v>-8.3011804234440545E-2</v>
      </c>
      <c r="F176" s="109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  <c r="AC176" s="2"/>
      <c r="AD176" s="2"/>
      <c r="AE176" s="2"/>
      <c r="AF176" s="2"/>
      <c r="AG176" s="2"/>
      <c r="AH176" s="2"/>
      <c r="AI176" s="2"/>
      <c r="AJ176" s="2"/>
      <c r="AK176" s="2"/>
    </row>
    <row r="177" spans="1:37" ht="15">
      <c r="A177" s="2"/>
      <c r="B177" s="2"/>
      <c r="C177" s="2"/>
      <c r="D177" s="2"/>
      <c r="E177" s="34">
        <v>-8.2576439773057841E-2</v>
      </c>
      <c r="F177" s="109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  <c r="AC177" s="2"/>
      <c r="AD177" s="2"/>
      <c r="AE177" s="2"/>
      <c r="AF177" s="2"/>
      <c r="AG177" s="2"/>
      <c r="AH177" s="2"/>
      <c r="AI177" s="2"/>
      <c r="AJ177" s="2"/>
      <c r="AK177" s="2"/>
    </row>
    <row r="178" spans="1:37" ht="15">
      <c r="A178" s="2"/>
      <c r="B178" s="2"/>
      <c r="C178" s="2"/>
      <c r="D178" s="2"/>
      <c r="E178" s="34">
        <v>-8.1384579561098902E-2</v>
      </c>
      <c r="F178" s="109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  <c r="AC178" s="2"/>
      <c r="AD178" s="2"/>
      <c r="AE178" s="2"/>
      <c r="AF178" s="2"/>
      <c r="AG178" s="2"/>
      <c r="AH178" s="2"/>
      <c r="AI178" s="2"/>
      <c r="AJ178" s="2"/>
      <c r="AK178" s="2"/>
    </row>
    <row r="179" spans="1:37" ht="15">
      <c r="A179" s="2"/>
      <c r="B179" s="2"/>
      <c r="C179" s="2"/>
      <c r="D179" s="2"/>
      <c r="E179" s="34">
        <v>-7.9151437681349024E-2</v>
      </c>
      <c r="F179" s="109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  <c r="AC179" s="2"/>
      <c r="AD179" s="2"/>
      <c r="AE179" s="2"/>
      <c r="AF179" s="2"/>
      <c r="AG179" s="2"/>
      <c r="AH179" s="2"/>
      <c r="AI179" s="2"/>
      <c r="AJ179" s="2"/>
      <c r="AK179" s="2"/>
    </row>
    <row r="180" spans="1:37" ht="15">
      <c r="A180" s="2"/>
      <c r="B180" s="2"/>
      <c r="C180" s="2"/>
      <c r="D180" s="2"/>
      <c r="E180" s="34">
        <v>-7.8474696888613527E-2</v>
      </c>
      <c r="F180" s="109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  <c r="AC180" s="2"/>
      <c r="AD180" s="2"/>
      <c r="AE180" s="2"/>
      <c r="AF180" s="2"/>
      <c r="AG180" s="2"/>
      <c r="AH180" s="2"/>
      <c r="AI180" s="2"/>
      <c r="AJ180" s="2"/>
      <c r="AK180" s="2"/>
    </row>
    <row r="181" spans="1:37" ht="15">
      <c r="A181" s="2"/>
      <c r="B181" s="2"/>
      <c r="C181" s="2"/>
      <c r="D181" s="2"/>
      <c r="E181" s="34">
        <v>-7.7053270395570195E-2</v>
      </c>
      <c r="F181" s="109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  <c r="AC181" s="2"/>
      <c r="AD181" s="2"/>
      <c r="AE181" s="2"/>
      <c r="AF181" s="2"/>
      <c r="AG181" s="2"/>
      <c r="AH181" s="2"/>
      <c r="AI181" s="2"/>
      <c r="AJ181" s="2"/>
      <c r="AK181" s="2"/>
    </row>
    <row r="182" spans="1:37" ht="15">
      <c r="A182" s="2"/>
      <c r="B182" s="2"/>
      <c r="C182" s="2"/>
      <c r="D182" s="2"/>
      <c r="E182" s="34">
        <v>-7.5747526684945887E-2</v>
      </c>
      <c r="F182" s="109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  <c r="AC182" s="2"/>
      <c r="AD182" s="2"/>
      <c r="AE182" s="2"/>
      <c r="AF182" s="2"/>
      <c r="AG182" s="2"/>
      <c r="AH182" s="2"/>
      <c r="AI182" s="2"/>
      <c r="AJ182" s="2"/>
      <c r="AK182" s="2"/>
    </row>
    <row r="183" spans="1:37" ht="15">
      <c r="A183" s="2"/>
      <c r="B183" s="2"/>
      <c r="C183" s="2"/>
      <c r="D183" s="2"/>
      <c r="E183" s="34">
        <v>-7.4013120537703037E-2</v>
      </c>
      <c r="F183" s="109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  <c r="AC183" s="2"/>
      <c r="AD183" s="2"/>
      <c r="AE183" s="2"/>
      <c r="AF183" s="2"/>
      <c r="AG183" s="2"/>
      <c r="AH183" s="2"/>
      <c r="AI183" s="2"/>
      <c r="AJ183" s="2"/>
      <c r="AK183" s="2"/>
    </row>
    <row r="184" spans="1:37" ht="15">
      <c r="A184" s="2"/>
      <c r="B184" s="2"/>
      <c r="C184" s="2"/>
      <c r="D184" s="2"/>
      <c r="E184" s="34">
        <v>-7.2069090345907361E-2</v>
      </c>
      <c r="F184" s="109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  <c r="AC184" s="2"/>
      <c r="AD184" s="2"/>
      <c r="AE184" s="2"/>
      <c r="AF184" s="2"/>
      <c r="AG184" s="2"/>
      <c r="AH184" s="2"/>
      <c r="AI184" s="2"/>
      <c r="AJ184" s="2"/>
      <c r="AK184" s="2"/>
    </row>
    <row r="185" spans="1:37" ht="15">
      <c r="A185" s="2"/>
      <c r="B185" s="2"/>
      <c r="C185" s="2"/>
      <c r="D185" s="2"/>
      <c r="E185" s="34">
        <v>-7.1581440972470878E-2</v>
      </c>
      <c r="F185" s="109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  <c r="AC185" s="2"/>
      <c r="AD185" s="2"/>
      <c r="AE185" s="2"/>
      <c r="AF185" s="2"/>
      <c r="AG185" s="2"/>
      <c r="AH185" s="2"/>
      <c r="AI185" s="2"/>
      <c r="AJ185" s="2"/>
      <c r="AK185" s="2"/>
    </row>
    <row r="186" spans="1:37" ht="15">
      <c r="A186" s="2"/>
      <c r="B186" s="2"/>
      <c r="C186" s="2"/>
      <c r="D186" s="2"/>
      <c r="E186" s="34">
        <v>-7.068902283649825E-2</v>
      </c>
      <c r="F186" s="109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  <c r="AC186" s="2"/>
      <c r="AD186" s="2"/>
      <c r="AE186" s="2"/>
      <c r="AF186" s="2"/>
      <c r="AG186" s="2"/>
      <c r="AH186" s="2"/>
      <c r="AI186" s="2"/>
      <c r="AJ186" s="2"/>
      <c r="AK186" s="2"/>
    </row>
    <row r="187" spans="1:37" ht="15">
      <c r="A187" s="2"/>
      <c r="B187" s="2"/>
      <c r="C187" s="2"/>
      <c r="D187" s="2"/>
      <c r="E187" s="34">
        <v>-6.9787484771907993E-2</v>
      </c>
      <c r="F187" s="109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  <c r="AC187" s="2"/>
      <c r="AD187" s="2"/>
      <c r="AE187" s="2"/>
      <c r="AF187" s="2"/>
      <c r="AG187" s="2"/>
      <c r="AH187" s="2"/>
      <c r="AI187" s="2"/>
      <c r="AJ187" s="2"/>
      <c r="AK187" s="2"/>
    </row>
    <row r="188" spans="1:37" ht="15">
      <c r="A188" s="2"/>
      <c r="B188" s="2"/>
      <c r="C188" s="2"/>
      <c r="D188" s="2"/>
      <c r="E188" s="34">
        <v>-6.5967784779614735E-2</v>
      </c>
      <c r="F188" s="109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  <c r="AC188" s="2"/>
      <c r="AD188" s="2"/>
      <c r="AE188" s="2"/>
      <c r="AF188" s="2"/>
      <c r="AG188" s="2"/>
      <c r="AH188" s="2"/>
      <c r="AI188" s="2"/>
      <c r="AJ188" s="2"/>
      <c r="AK188" s="2"/>
    </row>
    <row r="189" spans="1:37" ht="15">
      <c r="A189" s="2"/>
      <c r="B189" s="2"/>
      <c r="C189" s="2"/>
      <c r="D189" s="2"/>
      <c r="E189" s="34">
        <v>-6.5819580131154964E-2</v>
      </c>
      <c r="F189" s="109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  <c r="AC189" s="2"/>
      <c r="AD189" s="2"/>
      <c r="AE189" s="2"/>
      <c r="AF189" s="2"/>
      <c r="AG189" s="2"/>
      <c r="AH189" s="2"/>
      <c r="AI189" s="2"/>
      <c r="AJ189" s="2"/>
      <c r="AK189" s="2"/>
    </row>
    <row r="190" spans="1:37" ht="15">
      <c r="A190" s="2"/>
      <c r="B190" s="2"/>
      <c r="C190" s="2"/>
      <c r="D190" s="2"/>
      <c r="E190" s="34">
        <v>-6.5530155728423578E-2</v>
      </c>
      <c r="F190" s="109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  <c r="AC190" s="2"/>
      <c r="AD190" s="2"/>
      <c r="AE190" s="2"/>
      <c r="AF190" s="2"/>
      <c r="AG190" s="2"/>
      <c r="AH190" s="2"/>
      <c r="AI190" s="2"/>
      <c r="AJ190" s="2"/>
      <c r="AK190" s="2"/>
    </row>
    <row r="191" spans="1:37" ht="15">
      <c r="A191" s="2"/>
      <c r="B191" s="2"/>
      <c r="C191" s="2"/>
      <c r="D191" s="2"/>
      <c r="E191" s="34">
        <v>-6.4811722160207585E-2</v>
      </c>
      <c r="F191" s="109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  <c r="AC191" s="2"/>
      <c r="AD191" s="2"/>
      <c r="AE191" s="2"/>
      <c r="AF191" s="2"/>
      <c r="AG191" s="2"/>
      <c r="AH191" s="2"/>
      <c r="AI191" s="2"/>
      <c r="AJ191" s="2"/>
      <c r="AK191" s="2"/>
    </row>
    <row r="192" spans="1:37" ht="15">
      <c r="A192" s="2"/>
      <c r="B192" s="2"/>
      <c r="C192" s="2"/>
      <c r="D192" s="2"/>
      <c r="E192" s="34">
        <v>-6.4463770050854796E-2</v>
      </c>
      <c r="F192" s="109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  <c r="AC192" s="2"/>
      <c r="AD192" s="2"/>
      <c r="AE192" s="2"/>
      <c r="AF192" s="2"/>
      <c r="AG192" s="2"/>
      <c r="AH192" s="2"/>
      <c r="AI192" s="2"/>
      <c r="AJ192" s="2"/>
      <c r="AK192" s="2"/>
    </row>
    <row r="193" spans="1:37" ht="15">
      <c r="A193" s="2"/>
      <c r="B193" s="2"/>
      <c r="C193" s="2"/>
      <c r="D193" s="2"/>
      <c r="E193" s="34">
        <v>-6.2501990203054025E-2</v>
      </c>
      <c r="F193" s="109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  <c r="AC193" s="2"/>
      <c r="AD193" s="2"/>
      <c r="AE193" s="2"/>
      <c r="AF193" s="2"/>
      <c r="AG193" s="2"/>
      <c r="AH193" s="2"/>
      <c r="AI193" s="2"/>
      <c r="AJ193" s="2"/>
      <c r="AK193" s="2"/>
    </row>
    <row r="194" spans="1:37" ht="15">
      <c r="A194" s="2"/>
      <c r="B194" s="2"/>
      <c r="C194" s="2"/>
      <c r="D194" s="2"/>
      <c r="E194" s="34">
        <v>-6.0938828934090417E-2</v>
      </c>
      <c r="F194" s="109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  <c r="AC194" s="2"/>
      <c r="AD194" s="2"/>
      <c r="AE194" s="2"/>
      <c r="AF194" s="2"/>
      <c r="AG194" s="2"/>
      <c r="AH194" s="2"/>
      <c r="AI194" s="2"/>
      <c r="AJ194" s="2"/>
      <c r="AK194" s="2"/>
    </row>
    <row r="195" spans="1:37" ht="15">
      <c r="A195" s="2"/>
      <c r="B195" s="2"/>
      <c r="C195" s="2"/>
      <c r="D195" s="2"/>
      <c r="E195" s="34">
        <v>-5.9954822514546979E-2</v>
      </c>
      <c r="F195" s="109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  <c r="AC195" s="2"/>
      <c r="AD195" s="2"/>
      <c r="AE195" s="2"/>
      <c r="AF195" s="2"/>
      <c r="AG195" s="2"/>
      <c r="AH195" s="2"/>
      <c r="AI195" s="2"/>
      <c r="AJ195" s="2"/>
      <c r="AK195" s="2"/>
    </row>
    <row r="196" spans="1:37" ht="15">
      <c r="A196" s="2"/>
      <c r="B196" s="2"/>
      <c r="C196" s="2"/>
      <c r="D196" s="2"/>
      <c r="E196" s="34">
        <v>-5.48053053879618E-2</v>
      </c>
      <c r="F196" s="110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  <c r="AC196" s="2"/>
      <c r="AD196" s="2"/>
      <c r="AE196" s="2"/>
      <c r="AF196" s="2"/>
      <c r="AG196" s="2"/>
      <c r="AH196" s="2"/>
      <c r="AI196" s="2"/>
      <c r="AJ196" s="2"/>
      <c r="AK196" s="2"/>
    </row>
    <row r="197" spans="1:37" ht="15">
      <c r="A197" s="2"/>
      <c r="B197" s="2"/>
      <c r="C197" s="2"/>
      <c r="D197" s="2"/>
      <c r="E197" s="34">
        <v>-5.2620388293684428E-2</v>
      </c>
      <c r="F197" s="110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  <c r="AC197" s="2"/>
      <c r="AD197" s="2"/>
      <c r="AE197" s="2"/>
      <c r="AF197" s="2"/>
      <c r="AG197" s="2"/>
      <c r="AH197" s="2"/>
      <c r="AI197" s="2"/>
      <c r="AJ197" s="2"/>
      <c r="AK197" s="2"/>
    </row>
    <row r="198" spans="1:37" ht="15">
      <c r="A198" s="2"/>
      <c r="B198" s="2"/>
      <c r="C198" s="2"/>
      <c r="D198" s="2"/>
      <c r="E198" s="34">
        <v>-5.2273203652785316E-2</v>
      </c>
      <c r="F198" s="110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  <c r="AC198" s="2"/>
      <c r="AD198" s="2"/>
      <c r="AE198" s="2"/>
      <c r="AF198" s="2"/>
      <c r="AG198" s="2"/>
      <c r="AH198" s="2"/>
      <c r="AI198" s="2"/>
      <c r="AJ198" s="2"/>
      <c r="AK198" s="2"/>
    </row>
    <row r="199" spans="1:37" ht="15">
      <c r="A199" s="2"/>
      <c r="B199" s="2"/>
      <c r="C199" s="2"/>
      <c r="D199" s="2"/>
      <c r="E199" s="34">
        <v>-4.9563227817677635E-2</v>
      </c>
      <c r="F199" s="110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  <c r="AC199" s="2"/>
      <c r="AD199" s="2"/>
      <c r="AE199" s="2"/>
      <c r="AF199" s="2"/>
      <c r="AG199" s="2"/>
      <c r="AH199" s="2"/>
      <c r="AI199" s="2"/>
      <c r="AJ199" s="2"/>
      <c r="AK199" s="2"/>
    </row>
    <row r="200" spans="1:37" ht="15">
      <c r="A200" s="2"/>
      <c r="B200" s="2"/>
      <c r="C200" s="2"/>
      <c r="D200" s="2"/>
      <c r="E200" s="34">
        <v>-4.8367957199280331E-2</v>
      </c>
      <c r="F200" s="110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  <c r="AC200" s="2"/>
      <c r="AD200" s="2"/>
      <c r="AE200" s="2"/>
      <c r="AF200" s="2"/>
      <c r="AG200" s="2"/>
      <c r="AH200" s="2"/>
      <c r="AI200" s="2"/>
      <c r="AJ200" s="2"/>
      <c r="AK200" s="2"/>
    </row>
    <row r="201" spans="1:37" ht="15">
      <c r="A201" s="2"/>
      <c r="B201" s="2"/>
      <c r="C201" s="2"/>
      <c r="D201" s="2"/>
      <c r="E201" s="34">
        <v>-4.6517284973895734E-2</v>
      </c>
      <c r="F201" s="110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  <c r="AC201" s="2"/>
      <c r="AD201" s="2"/>
      <c r="AE201" s="2"/>
      <c r="AF201" s="2"/>
      <c r="AG201" s="2"/>
      <c r="AH201" s="2"/>
      <c r="AI201" s="2"/>
      <c r="AJ201" s="2"/>
      <c r="AK201" s="2"/>
    </row>
    <row r="202" spans="1:37" ht="15">
      <c r="A202" s="2"/>
      <c r="B202" s="2"/>
      <c r="C202" s="2"/>
      <c r="D202" s="2"/>
      <c r="E202" s="34">
        <v>-4.5095023466290129E-2</v>
      </c>
      <c r="F202" s="110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  <c r="AC202" s="2"/>
      <c r="AD202" s="2"/>
      <c r="AE202" s="2"/>
      <c r="AF202" s="2"/>
      <c r="AG202" s="2"/>
      <c r="AH202" s="2"/>
      <c r="AI202" s="2"/>
      <c r="AJ202" s="2"/>
      <c r="AK202" s="2"/>
    </row>
    <row r="203" spans="1:37" ht="15">
      <c r="A203" s="2"/>
      <c r="B203" s="2"/>
      <c r="C203" s="2"/>
      <c r="D203" s="2"/>
      <c r="E203" s="34">
        <v>-4.0889045667364954E-2</v>
      </c>
      <c r="F203" s="110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  <c r="AC203" s="2"/>
      <c r="AD203" s="2"/>
      <c r="AE203" s="2"/>
      <c r="AF203" s="2"/>
      <c r="AG203" s="2"/>
      <c r="AH203" s="2"/>
      <c r="AI203" s="2"/>
      <c r="AJ203" s="2"/>
      <c r="AK203" s="2"/>
    </row>
    <row r="204" spans="1:37" ht="15">
      <c r="A204" s="2"/>
      <c r="B204" s="2"/>
      <c r="C204" s="2"/>
      <c r="D204" s="2"/>
      <c r="E204" s="34">
        <v>-4.0460975809890831E-2</v>
      </c>
      <c r="F204" s="110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  <c r="AC204" s="2"/>
      <c r="AD204" s="2"/>
      <c r="AE204" s="2"/>
      <c r="AF204" s="2"/>
      <c r="AG204" s="2"/>
      <c r="AH204" s="2"/>
      <c r="AI204" s="2"/>
      <c r="AJ204" s="2"/>
      <c r="AK204" s="2"/>
    </row>
    <row r="205" spans="1:37" ht="15">
      <c r="A205" s="2"/>
      <c r="B205" s="2"/>
      <c r="C205" s="2"/>
      <c r="D205" s="2"/>
      <c r="E205" s="34">
        <v>-4.0436725391848505E-2</v>
      </c>
      <c r="F205" s="110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  <c r="AC205" s="2"/>
      <c r="AD205" s="2"/>
      <c r="AE205" s="2"/>
      <c r="AF205" s="2"/>
      <c r="AG205" s="2"/>
      <c r="AH205" s="2"/>
      <c r="AI205" s="2"/>
      <c r="AJ205" s="2"/>
      <c r="AK205" s="2"/>
    </row>
    <row r="206" spans="1:37" ht="15">
      <c r="A206" s="2"/>
      <c r="B206" s="2"/>
      <c r="C206" s="2"/>
      <c r="D206" s="2"/>
      <c r="E206" s="34">
        <v>-3.9372360938805695E-2</v>
      </c>
      <c r="F206" s="110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  <c r="AC206" s="2"/>
      <c r="AD206" s="2"/>
      <c r="AE206" s="2"/>
      <c r="AF206" s="2"/>
      <c r="AG206" s="2"/>
      <c r="AH206" s="2"/>
      <c r="AI206" s="2"/>
      <c r="AJ206" s="2"/>
      <c r="AK206" s="2"/>
    </row>
    <row r="207" spans="1:37" ht="15">
      <c r="A207" s="2"/>
      <c r="B207" s="2"/>
      <c r="C207" s="2"/>
      <c r="D207" s="2"/>
      <c r="E207" s="34">
        <v>-3.3649370958816371E-2</v>
      </c>
      <c r="F207" s="110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  <c r="AC207" s="2"/>
      <c r="AD207" s="2"/>
      <c r="AE207" s="2"/>
      <c r="AF207" s="2"/>
      <c r="AG207" s="2"/>
      <c r="AH207" s="2"/>
      <c r="AI207" s="2"/>
      <c r="AJ207" s="2"/>
      <c r="AK207" s="2"/>
    </row>
    <row r="208" spans="1:37" ht="15">
      <c r="A208" s="2"/>
      <c r="B208" s="2"/>
      <c r="C208" s="2"/>
      <c r="D208" s="2"/>
      <c r="E208" s="34">
        <v>-3.1462695590893985E-2</v>
      </c>
      <c r="F208" s="110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  <c r="AC208" s="2"/>
      <c r="AD208" s="2"/>
      <c r="AE208" s="2"/>
      <c r="AF208" s="2"/>
      <c r="AG208" s="2"/>
      <c r="AH208" s="2"/>
      <c r="AI208" s="2"/>
      <c r="AJ208" s="2"/>
      <c r="AK208" s="2"/>
    </row>
    <row r="209" spans="1:37" ht="15">
      <c r="A209" s="2"/>
      <c r="B209" s="2"/>
      <c r="C209" s="2"/>
      <c r="D209" s="2"/>
      <c r="E209" s="34">
        <v>-3.1436192322831458E-2</v>
      </c>
      <c r="F209" s="110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  <c r="AC209" s="2"/>
      <c r="AD209" s="2"/>
      <c r="AE209" s="2"/>
      <c r="AF209" s="2"/>
      <c r="AG209" s="2"/>
      <c r="AH209" s="2"/>
      <c r="AI209" s="2"/>
      <c r="AJ209" s="2"/>
      <c r="AK209" s="2"/>
    </row>
    <row r="210" spans="1:37" ht="15">
      <c r="A210" s="2"/>
      <c r="B210" s="2"/>
      <c r="C210" s="2"/>
      <c r="D210" s="2"/>
      <c r="E210" s="34">
        <v>-3.1350877272594335E-2</v>
      </c>
      <c r="F210" s="110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  <c r="AC210" s="2"/>
      <c r="AD210" s="2"/>
      <c r="AE210" s="2"/>
      <c r="AF210" s="2"/>
      <c r="AG210" s="2"/>
      <c r="AH210" s="2"/>
      <c r="AI210" s="2"/>
      <c r="AJ210" s="2"/>
      <c r="AK210" s="2"/>
    </row>
    <row r="211" spans="1:37" ht="15">
      <c r="A211" s="2"/>
      <c r="B211" s="2"/>
      <c r="C211" s="2"/>
      <c r="D211" s="2"/>
      <c r="E211" s="34">
        <v>-2.8512987644618848E-2</v>
      </c>
      <c r="F211" s="110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  <c r="AC211" s="2"/>
      <c r="AD211" s="2"/>
      <c r="AE211" s="2"/>
      <c r="AF211" s="2"/>
      <c r="AG211" s="2"/>
      <c r="AH211" s="2"/>
      <c r="AI211" s="2"/>
      <c r="AJ211" s="2"/>
      <c r="AK211" s="2"/>
    </row>
    <row r="212" spans="1:37" ht="15">
      <c r="A212" s="2"/>
      <c r="B212" s="2"/>
      <c r="C212" s="2"/>
      <c r="D212" s="2"/>
      <c r="E212" s="34">
        <v>-2.4714487447567324E-2</v>
      </c>
      <c r="F212" s="110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  <c r="AC212" s="2"/>
      <c r="AD212" s="2"/>
      <c r="AE212" s="2"/>
      <c r="AF212" s="2"/>
      <c r="AG212" s="2"/>
      <c r="AH212" s="2"/>
      <c r="AI212" s="2"/>
      <c r="AJ212" s="2"/>
      <c r="AK212" s="2"/>
    </row>
    <row r="213" spans="1:37" ht="15">
      <c r="A213" s="2"/>
      <c r="B213" s="2"/>
      <c r="C213" s="2"/>
      <c r="D213" s="2"/>
      <c r="E213" s="34">
        <v>-2.4495708578195385E-2</v>
      </c>
      <c r="F213" s="110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  <c r="AC213" s="2"/>
      <c r="AD213" s="2"/>
      <c r="AE213" s="2"/>
      <c r="AF213" s="2"/>
      <c r="AG213" s="2"/>
      <c r="AH213" s="2"/>
      <c r="AI213" s="2"/>
      <c r="AJ213" s="2"/>
      <c r="AK213" s="2"/>
    </row>
    <row r="214" spans="1:37" ht="15">
      <c r="A214" s="2"/>
      <c r="B214" s="2"/>
      <c r="C214" s="2"/>
      <c r="D214" s="2"/>
      <c r="E214" s="34">
        <v>-2.3986423113821376E-2</v>
      </c>
      <c r="F214" s="110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  <c r="AC214" s="2"/>
      <c r="AD214" s="2"/>
      <c r="AE214" s="2"/>
      <c r="AF214" s="2"/>
      <c r="AG214" s="2"/>
      <c r="AH214" s="2"/>
      <c r="AI214" s="2"/>
      <c r="AJ214" s="2"/>
      <c r="AK214" s="2"/>
    </row>
    <row r="215" spans="1:37" ht="15">
      <c r="A215" s="2"/>
      <c r="B215" s="2"/>
      <c r="C215" s="2"/>
      <c r="D215" s="2"/>
      <c r="E215" s="34">
        <v>-2.3499433173729711E-2</v>
      </c>
      <c r="F215" s="110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  <c r="AC215" s="2"/>
      <c r="AD215" s="2"/>
      <c r="AE215" s="2"/>
      <c r="AF215" s="2"/>
      <c r="AG215" s="2"/>
      <c r="AH215" s="2"/>
      <c r="AI215" s="2"/>
      <c r="AJ215" s="2"/>
      <c r="AK215" s="2"/>
    </row>
    <row r="216" spans="1:37" ht="15">
      <c r="A216" s="2"/>
      <c r="B216" s="2"/>
      <c r="C216" s="2"/>
      <c r="D216" s="2"/>
      <c r="E216" s="34">
        <v>-2.3127519153720133E-2</v>
      </c>
      <c r="F216" s="110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  <c r="AC216" s="2"/>
      <c r="AD216" s="2"/>
      <c r="AE216" s="2"/>
      <c r="AF216" s="2"/>
      <c r="AG216" s="2"/>
      <c r="AH216" s="2"/>
      <c r="AI216" s="2"/>
      <c r="AJ216" s="2"/>
      <c r="AK216" s="2"/>
    </row>
    <row r="217" spans="1:37" ht="15">
      <c r="A217" s="2"/>
      <c r="B217" s="2"/>
      <c r="C217" s="2"/>
      <c r="D217" s="2"/>
      <c r="E217" s="34">
        <v>-1.8986597896029522E-2</v>
      </c>
      <c r="F217" s="110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  <c r="AC217" s="2"/>
      <c r="AD217" s="2"/>
      <c r="AE217" s="2"/>
      <c r="AF217" s="2"/>
      <c r="AG217" s="2"/>
      <c r="AH217" s="2"/>
      <c r="AI217" s="2"/>
      <c r="AJ217" s="2"/>
      <c r="AK217" s="2"/>
    </row>
    <row r="218" spans="1:37" ht="15">
      <c r="A218" s="2"/>
      <c r="B218" s="2"/>
      <c r="C218" s="2"/>
      <c r="D218" s="2"/>
      <c r="E218" s="34">
        <v>-1.5751149228904637E-2</v>
      </c>
      <c r="F218" s="110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  <c r="AC218" s="2"/>
      <c r="AD218" s="2"/>
      <c r="AE218" s="2"/>
      <c r="AF218" s="2"/>
      <c r="AG218" s="2"/>
      <c r="AH218" s="2"/>
      <c r="AI218" s="2"/>
      <c r="AJ218" s="2"/>
      <c r="AK218" s="2"/>
    </row>
    <row r="219" spans="1:37" ht="15">
      <c r="A219" s="2"/>
      <c r="B219" s="2"/>
      <c r="C219" s="2"/>
      <c r="D219" s="2"/>
      <c r="E219" s="34">
        <v>-1.5511712389823629E-2</v>
      </c>
      <c r="F219" s="110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  <c r="AC219" s="2"/>
      <c r="AD219" s="2"/>
      <c r="AE219" s="2"/>
      <c r="AF219" s="2"/>
      <c r="AG219" s="2"/>
      <c r="AH219" s="2"/>
      <c r="AI219" s="2"/>
      <c r="AJ219" s="2"/>
      <c r="AK219" s="2"/>
    </row>
    <row r="220" spans="1:37" ht="15">
      <c r="A220" s="2"/>
      <c r="B220" s="2"/>
      <c r="C220" s="2"/>
      <c r="D220" s="2"/>
      <c r="E220" s="34">
        <v>-1.459841768678416E-2</v>
      </c>
      <c r="F220" s="110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  <c r="AC220" s="2"/>
      <c r="AD220" s="2"/>
      <c r="AE220" s="2"/>
      <c r="AF220" s="2"/>
      <c r="AG220" s="2"/>
      <c r="AH220" s="2"/>
      <c r="AI220" s="2"/>
      <c r="AJ220" s="2"/>
      <c r="AK220" s="2"/>
    </row>
    <row r="221" spans="1:37" ht="15">
      <c r="A221" s="2"/>
      <c r="B221" s="2"/>
      <c r="C221" s="2"/>
      <c r="D221" s="2"/>
      <c r="E221" s="34">
        <v>-1.1901776889900129E-2</v>
      </c>
      <c r="F221" s="110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  <c r="AC221" s="2"/>
      <c r="AD221" s="2"/>
      <c r="AE221" s="2"/>
      <c r="AF221" s="2"/>
      <c r="AG221" s="2"/>
      <c r="AH221" s="2"/>
      <c r="AI221" s="2"/>
      <c r="AJ221" s="2"/>
      <c r="AK221" s="2"/>
    </row>
    <row r="222" spans="1:37" ht="15">
      <c r="A222" s="2"/>
      <c r="B222" s="2"/>
      <c r="C222" s="2"/>
      <c r="D222" s="2"/>
      <c r="E222" s="34">
        <v>-1.0825172948378814E-2</v>
      </c>
      <c r="F222" s="110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  <c r="AC222" s="2"/>
      <c r="AD222" s="2"/>
      <c r="AE222" s="2"/>
      <c r="AF222" s="2"/>
      <c r="AG222" s="2"/>
      <c r="AH222" s="2"/>
      <c r="AI222" s="2"/>
      <c r="AJ222" s="2"/>
      <c r="AK222" s="2"/>
    </row>
    <row r="223" spans="1:37" ht="15">
      <c r="A223" s="2"/>
      <c r="B223" s="2"/>
      <c r="C223" s="2"/>
      <c r="D223" s="2"/>
      <c r="E223" s="34">
        <v>-9.2599352405311475E-3</v>
      </c>
      <c r="F223" s="110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  <c r="AC223" s="2"/>
      <c r="AD223" s="2"/>
      <c r="AE223" s="2"/>
      <c r="AF223" s="2"/>
      <c r="AG223" s="2"/>
      <c r="AH223" s="2"/>
      <c r="AI223" s="2"/>
      <c r="AJ223" s="2"/>
      <c r="AK223" s="2"/>
    </row>
    <row r="224" spans="1:37" ht="15">
      <c r="A224" s="2"/>
      <c r="B224" s="2"/>
      <c r="C224" s="2"/>
      <c r="D224" s="2"/>
      <c r="E224" s="34">
        <v>-7.9702330317494852E-3</v>
      </c>
      <c r="F224" s="110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  <c r="AC224" s="2"/>
      <c r="AD224" s="2"/>
      <c r="AE224" s="2"/>
      <c r="AF224" s="2"/>
      <c r="AG224" s="2"/>
      <c r="AH224" s="2"/>
      <c r="AI224" s="2"/>
      <c r="AJ224" s="2"/>
      <c r="AK224" s="2"/>
    </row>
    <row r="225" spans="1:37" ht="15">
      <c r="A225" s="2"/>
      <c r="B225" s="2"/>
      <c r="C225" s="2"/>
      <c r="D225" s="2"/>
      <c r="E225" s="34">
        <v>-6.6229961182935337E-3</v>
      </c>
      <c r="F225" s="110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  <c r="AC225" s="2"/>
      <c r="AD225" s="2"/>
      <c r="AE225" s="2"/>
      <c r="AF225" s="2"/>
      <c r="AG225" s="2"/>
      <c r="AH225" s="2"/>
      <c r="AI225" s="2"/>
      <c r="AJ225" s="2"/>
      <c r="AK225" s="2"/>
    </row>
    <row r="226" spans="1:37" ht="15">
      <c r="A226" s="2"/>
      <c r="B226" s="2"/>
      <c r="C226" s="2"/>
      <c r="D226" s="2"/>
      <c r="E226" s="34">
        <v>-5.8499508759046748E-3</v>
      </c>
      <c r="F226" s="110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  <c r="AC226" s="2"/>
      <c r="AD226" s="2"/>
      <c r="AE226" s="2"/>
      <c r="AF226" s="2"/>
      <c r="AG226" s="2"/>
      <c r="AH226" s="2"/>
      <c r="AI226" s="2"/>
      <c r="AJ226" s="2"/>
      <c r="AK226" s="2"/>
    </row>
    <row r="227" spans="1:37" ht="15">
      <c r="A227" s="2"/>
      <c r="B227" s="2"/>
      <c r="C227" s="2"/>
      <c r="D227" s="2"/>
      <c r="E227" s="34">
        <v>-1.1699789066672572E-3</v>
      </c>
      <c r="F227" s="110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  <c r="AC227" s="2"/>
      <c r="AD227" s="2"/>
      <c r="AE227" s="2"/>
      <c r="AF227" s="2"/>
      <c r="AG227" s="2"/>
      <c r="AH227" s="2"/>
      <c r="AI227" s="2"/>
      <c r="AJ227" s="2"/>
      <c r="AK227" s="2"/>
    </row>
    <row r="228" spans="1:37" ht="15">
      <c r="A228" s="2"/>
      <c r="B228" s="2"/>
      <c r="C228" s="2"/>
      <c r="D228" s="2"/>
      <c r="E228" s="34">
        <v>-6.0514584132675964E-4</v>
      </c>
      <c r="F228" s="110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  <c r="AC228" s="2"/>
      <c r="AD228" s="2"/>
      <c r="AE228" s="2"/>
      <c r="AF228" s="2"/>
      <c r="AG228" s="2"/>
      <c r="AH228" s="2"/>
      <c r="AI228" s="2"/>
      <c r="AJ228" s="2"/>
      <c r="AK228" s="2"/>
    </row>
    <row r="229" spans="1:37" ht="15">
      <c r="A229" s="2"/>
      <c r="B229" s="2"/>
      <c r="C229" s="2"/>
      <c r="D229" s="2"/>
      <c r="E229" s="34">
        <v>1.2255891359060911E-3</v>
      </c>
      <c r="F229" s="110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  <c r="AC229" s="2"/>
      <c r="AD229" s="2"/>
      <c r="AE229" s="2"/>
      <c r="AF229" s="2"/>
      <c r="AG229" s="2"/>
      <c r="AH229" s="2"/>
      <c r="AI229" s="2"/>
      <c r="AJ229" s="2"/>
      <c r="AK229" s="2"/>
    </row>
    <row r="230" spans="1:37" ht="15">
      <c r="A230" s="2"/>
      <c r="B230" s="2"/>
      <c r="C230" s="2"/>
      <c r="D230" s="2"/>
      <c r="E230" s="34">
        <v>6.7375087019663216E-3</v>
      </c>
      <c r="F230" s="110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  <c r="AC230" s="2"/>
      <c r="AD230" s="2"/>
      <c r="AE230" s="2"/>
      <c r="AF230" s="2"/>
      <c r="AG230" s="2"/>
      <c r="AH230" s="2"/>
      <c r="AI230" s="2"/>
      <c r="AJ230" s="2"/>
      <c r="AK230" s="2"/>
    </row>
    <row r="231" spans="1:37" ht="15">
      <c r="A231" s="2"/>
      <c r="B231" s="2"/>
      <c r="C231" s="2"/>
      <c r="D231" s="2"/>
      <c r="E231" s="34">
        <v>8.8693987975037025E-3</v>
      </c>
      <c r="F231" s="110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  <c r="AC231" s="2"/>
      <c r="AD231" s="2"/>
      <c r="AE231" s="2"/>
      <c r="AF231" s="2"/>
      <c r="AG231" s="2"/>
      <c r="AH231" s="2"/>
      <c r="AI231" s="2"/>
      <c r="AJ231" s="2"/>
      <c r="AK231" s="2"/>
    </row>
    <row r="232" spans="1:37" ht="15">
      <c r="A232" s="2"/>
      <c r="B232" s="2"/>
      <c r="C232" s="2"/>
      <c r="D232" s="2"/>
      <c r="E232" s="34">
        <v>1.1928153559801702E-2</v>
      </c>
      <c r="F232" s="110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  <c r="AC232" s="2"/>
      <c r="AD232" s="2"/>
      <c r="AE232" s="2"/>
      <c r="AF232" s="2"/>
      <c r="AG232" s="2"/>
      <c r="AH232" s="2"/>
      <c r="AI232" s="2"/>
      <c r="AJ232" s="2"/>
      <c r="AK232" s="2"/>
    </row>
    <row r="233" spans="1:37" ht="15">
      <c r="A233" s="2"/>
      <c r="B233" s="2"/>
      <c r="C233" s="2"/>
      <c r="D233" s="2"/>
      <c r="E233" s="34">
        <v>1.4211376642230267E-2</v>
      </c>
      <c r="F233" s="110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  <c r="AC233" s="2"/>
      <c r="AD233" s="2"/>
      <c r="AE233" s="2"/>
      <c r="AF233" s="2"/>
      <c r="AG233" s="2"/>
      <c r="AH233" s="2"/>
      <c r="AI233" s="2"/>
      <c r="AJ233" s="2"/>
      <c r="AK233" s="2"/>
    </row>
    <row r="234" spans="1:37" ht="15">
      <c r="A234" s="2"/>
      <c r="B234" s="2"/>
      <c r="C234" s="2"/>
      <c r="D234" s="2"/>
      <c r="E234" s="34">
        <v>1.4983878018717478E-2</v>
      </c>
      <c r="F234" s="110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  <c r="AC234" s="2"/>
      <c r="AD234" s="2"/>
      <c r="AE234" s="2"/>
      <c r="AF234" s="2"/>
      <c r="AG234" s="2"/>
      <c r="AH234" s="2"/>
      <c r="AI234" s="2"/>
      <c r="AJ234" s="2"/>
      <c r="AK234" s="2"/>
    </row>
    <row r="235" spans="1:37" ht="15">
      <c r="A235" s="2"/>
      <c r="B235" s="2"/>
      <c r="C235" s="2"/>
      <c r="D235" s="2"/>
      <c r="E235" s="34">
        <v>1.5722817389482335E-2</v>
      </c>
      <c r="F235" s="111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  <c r="AC235" s="2"/>
      <c r="AD235" s="2"/>
      <c r="AE235" s="2"/>
      <c r="AF235" s="2"/>
      <c r="AG235" s="2"/>
      <c r="AH235" s="2"/>
      <c r="AI235" s="2"/>
      <c r="AJ235" s="2"/>
      <c r="AK235" s="2"/>
    </row>
    <row r="236" spans="1:37" ht="15">
      <c r="A236" s="2"/>
      <c r="B236" s="2"/>
      <c r="C236" s="2"/>
      <c r="D236" s="2"/>
      <c r="E236" s="34">
        <v>2.0810318987899867E-2</v>
      </c>
      <c r="F236" s="111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  <c r="AC236" s="2"/>
      <c r="AD236" s="2"/>
      <c r="AE236" s="2"/>
      <c r="AF236" s="2"/>
      <c r="AG236" s="2"/>
      <c r="AH236" s="2"/>
      <c r="AI236" s="2"/>
      <c r="AJ236" s="2"/>
      <c r="AK236" s="2"/>
    </row>
    <row r="237" spans="1:37" ht="15">
      <c r="A237" s="2"/>
      <c r="B237" s="2"/>
      <c r="C237" s="2"/>
      <c r="D237" s="2"/>
      <c r="E237" s="34">
        <v>2.663674894681356E-2</v>
      </c>
      <c r="F237" s="111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  <c r="AC237" s="2"/>
      <c r="AD237" s="2"/>
      <c r="AE237" s="2"/>
      <c r="AF237" s="2"/>
      <c r="AG237" s="2"/>
      <c r="AH237" s="2"/>
      <c r="AI237" s="2"/>
      <c r="AJ237" s="2"/>
      <c r="AK237" s="2"/>
    </row>
    <row r="238" spans="1:37" ht="15">
      <c r="A238" s="2"/>
      <c r="B238" s="2"/>
      <c r="C238" s="2"/>
      <c r="D238" s="2"/>
      <c r="E238" s="34">
        <v>3.077697660191725E-2</v>
      </c>
      <c r="F238" s="111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  <c r="AC238" s="2"/>
      <c r="AD238" s="2"/>
      <c r="AE238" s="2"/>
      <c r="AF238" s="2"/>
      <c r="AG238" s="2"/>
      <c r="AH238" s="2"/>
      <c r="AI238" s="2"/>
      <c r="AJ238" s="2"/>
      <c r="AK238" s="2"/>
    </row>
    <row r="239" spans="1:37" ht="15">
      <c r="A239" s="2"/>
      <c r="B239" s="2"/>
      <c r="C239" s="2"/>
      <c r="D239" s="2"/>
      <c r="E239" s="34">
        <v>3.3910068142709582E-2</v>
      </c>
      <c r="F239" s="111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  <c r="AC239" s="2"/>
      <c r="AD239" s="2"/>
      <c r="AE239" s="2"/>
      <c r="AF239" s="2"/>
      <c r="AG239" s="2"/>
      <c r="AH239" s="2"/>
      <c r="AI239" s="2"/>
      <c r="AJ239" s="2"/>
      <c r="AK239" s="2"/>
    </row>
    <row r="240" spans="1:37" ht="15">
      <c r="A240" s="2"/>
      <c r="B240" s="2"/>
      <c r="C240" s="2"/>
      <c r="D240" s="2"/>
      <c r="E240" s="34">
        <v>4.4746667558826614E-2</v>
      </c>
      <c r="F240" s="111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  <c r="AC240" s="2"/>
      <c r="AD240" s="2"/>
      <c r="AE240" s="2"/>
      <c r="AF240" s="2"/>
      <c r="AG240" s="2"/>
      <c r="AH240" s="2"/>
      <c r="AI240" s="2"/>
      <c r="AJ240" s="2"/>
      <c r="AK240" s="2"/>
    </row>
    <row r="241" spans="1:37" ht="15">
      <c r="A241" s="2"/>
      <c r="B241" s="2"/>
      <c r="C241" s="2"/>
      <c r="D241" s="2"/>
      <c r="E241" s="34">
        <v>4.9501983571124786E-2</v>
      </c>
      <c r="F241" s="111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  <c r="AC241" s="2"/>
      <c r="AD241" s="2"/>
      <c r="AE241" s="2"/>
      <c r="AF241" s="2"/>
      <c r="AG241" s="2"/>
      <c r="AH241" s="2"/>
      <c r="AI241" s="2"/>
      <c r="AJ241" s="2"/>
      <c r="AK241" s="2"/>
    </row>
    <row r="242" spans="1:37" ht="15">
      <c r="A242" s="2"/>
      <c r="B242" s="2"/>
      <c r="C242" s="2"/>
      <c r="D242" s="2"/>
      <c r="E242" s="34">
        <v>6.0871745682478329E-2</v>
      </c>
      <c r="F242" s="111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  <c r="AC242" s="2"/>
      <c r="AD242" s="2"/>
      <c r="AE242" s="2"/>
      <c r="AF242" s="2"/>
      <c r="AG242" s="2"/>
      <c r="AH242" s="2"/>
      <c r="AI242" s="2"/>
      <c r="AJ242" s="2"/>
      <c r="AK242" s="2"/>
    </row>
    <row r="243" spans="1:37" ht="15">
      <c r="A243" s="2"/>
      <c r="B243" s="2"/>
      <c r="C243" s="2"/>
      <c r="D243" s="2"/>
      <c r="E243" s="34">
        <v>6.3735604116439415E-2</v>
      </c>
      <c r="F243" s="111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  <c r="AC243" s="2"/>
      <c r="AD243" s="2"/>
      <c r="AE243" s="2"/>
      <c r="AF243" s="2"/>
      <c r="AG243" s="2"/>
      <c r="AH243" s="2"/>
      <c r="AI243" s="2"/>
      <c r="AJ243" s="2"/>
      <c r="AK243" s="2"/>
    </row>
    <row r="244" spans="1:37" ht="15">
      <c r="A244" s="2"/>
      <c r="B244" s="2"/>
      <c r="C244" s="2"/>
      <c r="D244" s="2"/>
      <c r="E244" s="34">
        <v>7.1711385665515492E-2</v>
      </c>
      <c r="F244" s="111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  <c r="AC244" s="2"/>
      <c r="AD244" s="2"/>
      <c r="AE244" s="2"/>
      <c r="AF244" s="2"/>
      <c r="AG244" s="2"/>
      <c r="AH244" s="2"/>
      <c r="AI244" s="2"/>
      <c r="AJ244" s="2"/>
      <c r="AK244" s="2"/>
    </row>
    <row r="245" spans="1:37" ht="15">
      <c r="A245" s="2"/>
      <c r="B245" s="2"/>
      <c r="C245" s="2"/>
      <c r="D245" s="2"/>
      <c r="E245" s="34">
        <v>7.4073766962362148E-2</v>
      </c>
      <c r="F245" s="111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  <c r="AC245" s="2"/>
      <c r="AD245" s="2"/>
      <c r="AE245" s="2"/>
      <c r="AF245" s="2"/>
      <c r="AG245" s="2"/>
      <c r="AH245" s="2"/>
      <c r="AI245" s="2"/>
      <c r="AJ245" s="2"/>
      <c r="AK245" s="2"/>
    </row>
    <row r="246" spans="1:37" ht="15">
      <c r="A246" s="2"/>
      <c r="B246" s="2"/>
      <c r="C246" s="2"/>
      <c r="D246" s="2"/>
      <c r="E246" s="34">
        <v>8.2274943952914015E-2</v>
      </c>
      <c r="F246" s="111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  <c r="AC246" s="2"/>
      <c r="AD246" s="2"/>
      <c r="AE246" s="2"/>
      <c r="AF246" s="2"/>
      <c r="AG246" s="2"/>
      <c r="AH246" s="2"/>
      <c r="AI246" s="2"/>
      <c r="AJ246" s="2"/>
      <c r="AK246" s="2"/>
    </row>
    <row r="247" spans="1:37" ht="15">
      <c r="A247" s="2"/>
      <c r="B247" s="2"/>
      <c r="C247" s="2"/>
      <c r="D247" s="2"/>
      <c r="E247" s="34">
        <v>8.6196850276283987E-2</v>
      </c>
      <c r="F247" s="111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  <c r="AC247" s="2"/>
      <c r="AD247" s="2"/>
      <c r="AE247" s="2"/>
      <c r="AF247" s="2"/>
      <c r="AG247" s="2"/>
      <c r="AH247" s="2"/>
      <c r="AI247" s="2"/>
      <c r="AJ247" s="2"/>
      <c r="AK247" s="2"/>
    </row>
    <row r="248" spans="1:37" ht="15">
      <c r="A248" s="2"/>
      <c r="B248" s="2"/>
      <c r="C248" s="2"/>
      <c r="D248" s="2"/>
      <c r="E248" s="34">
        <v>0.10125151298940771</v>
      </c>
      <c r="F248" s="111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  <c r="AC248" s="2"/>
      <c r="AD248" s="2"/>
      <c r="AE248" s="2"/>
      <c r="AF248" s="2"/>
      <c r="AG248" s="2"/>
      <c r="AH248" s="2"/>
      <c r="AI248" s="2"/>
      <c r="AJ248" s="2"/>
      <c r="AK248" s="2"/>
    </row>
    <row r="249" spans="1:37" ht="15">
      <c r="A249" s="2"/>
      <c r="B249" s="2"/>
      <c r="C249" s="2"/>
      <c r="D249" s="2"/>
      <c r="E249" s="34">
        <v>0.12543035743292802</v>
      </c>
      <c r="F249" s="111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  <c r="AC249" s="2"/>
      <c r="AD249" s="2"/>
      <c r="AE249" s="2"/>
      <c r="AF249" s="2"/>
      <c r="AG249" s="2"/>
      <c r="AH249" s="2"/>
      <c r="AI249" s="2"/>
      <c r="AJ249" s="2"/>
      <c r="AK249" s="2"/>
    </row>
    <row r="250" spans="1:37" ht="15">
      <c r="A250" s="2"/>
      <c r="B250" s="2"/>
      <c r="C250" s="2"/>
      <c r="D250" s="2"/>
      <c r="E250" s="34">
        <v>0.14183144630619077</v>
      </c>
      <c r="F250" s="111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  <c r="AC250" s="2"/>
      <c r="AD250" s="2"/>
      <c r="AE250" s="2"/>
      <c r="AF250" s="2"/>
      <c r="AG250" s="2"/>
      <c r="AH250" s="2"/>
      <c r="AI250" s="2"/>
      <c r="AJ250" s="2"/>
      <c r="AK250" s="2"/>
    </row>
    <row r="251" spans="1:37" ht="15">
      <c r="A251" s="2"/>
      <c r="B251" s="2"/>
      <c r="C251" s="2"/>
      <c r="D251" s="2"/>
      <c r="E251" s="34">
        <v>0.14789971223854759</v>
      </c>
      <c r="F251" s="111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  <c r="AC251" s="2"/>
      <c r="AD251" s="2"/>
      <c r="AE251" s="2"/>
      <c r="AF251" s="2"/>
      <c r="AG251" s="2"/>
      <c r="AH251" s="2"/>
      <c r="AI251" s="2"/>
      <c r="AJ251" s="2"/>
      <c r="AK251" s="2"/>
    </row>
    <row r="252" spans="1:37" ht="15">
      <c r="A252" s="2"/>
      <c r="B252" s="2"/>
      <c r="C252" s="2"/>
      <c r="D252" s="2"/>
      <c r="E252" s="34">
        <v>0.14801066870296364</v>
      </c>
      <c r="F252" s="111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  <c r="AC252" s="2"/>
      <c r="AD252" s="2"/>
      <c r="AE252" s="2"/>
      <c r="AF252" s="2"/>
      <c r="AG252" s="2"/>
      <c r="AH252" s="2"/>
      <c r="AI252" s="2"/>
      <c r="AJ252" s="2"/>
      <c r="AK252" s="2"/>
    </row>
    <row r="253" spans="1:37" ht="15">
      <c r="A253" s="2"/>
      <c r="B253" s="2"/>
      <c r="C253" s="2"/>
      <c r="D253" s="2"/>
      <c r="E253" s="34">
        <v>0.15016108582439036</v>
      </c>
      <c r="F253" s="111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  <c r="AC253" s="2"/>
      <c r="AD253" s="2"/>
      <c r="AE253" s="2"/>
      <c r="AF253" s="2"/>
      <c r="AG253" s="2"/>
      <c r="AH253" s="2"/>
      <c r="AI253" s="2"/>
      <c r="AJ253" s="2"/>
      <c r="AK253" s="2"/>
    </row>
    <row r="254" spans="1:37" ht="15">
      <c r="A254" s="2"/>
      <c r="B254" s="2"/>
      <c r="C254" s="2"/>
      <c r="D254" s="2"/>
      <c r="E254" s="34">
        <v>0.16788551620651004</v>
      </c>
      <c r="F254" s="11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  <c r="AC254" s="2"/>
      <c r="AD254" s="2"/>
      <c r="AE254" s="2"/>
      <c r="AF254" s="2"/>
      <c r="AG254" s="2"/>
      <c r="AH254" s="2"/>
      <c r="AI254" s="2"/>
      <c r="AJ254" s="2"/>
      <c r="AK254" s="2"/>
    </row>
    <row r="255" spans="1:37" ht="15">
      <c r="A255" s="2"/>
      <c r="B255" s="2"/>
      <c r="C255" s="2"/>
      <c r="D255" s="2"/>
      <c r="E255" s="34">
        <v>0.22343529737745962</v>
      </c>
      <c r="F255" s="11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  <c r="AC255" s="2"/>
      <c r="AD255" s="2"/>
      <c r="AE255" s="2"/>
      <c r="AF255" s="2"/>
      <c r="AG255" s="2"/>
      <c r="AH255" s="2"/>
      <c r="AI255" s="2"/>
      <c r="AJ255" s="2"/>
      <c r="AK255" s="2"/>
    </row>
    <row r="256" spans="1:37" ht="15">
      <c r="A256" s="2"/>
      <c r="B256" s="2"/>
      <c r="C256" s="2"/>
      <c r="D256" s="2"/>
      <c r="E256" s="34">
        <v>0.37618480049107372</v>
      </c>
      <c r="F256" s="113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  <c r="AC256" s="2"/>
      <c r="AD256" s="2"/>
      <c r="AE256" s="2"/>
      <c r="AF256" s="2"/>
      <c r="AG256" s="2"/>
      <c r="AH256" s="2"/>
      <c r="AI256" s="2"/>
      <c r="AJ256" s="2"/>
      <c r="AK256" s="2"/>
    </row>
    <row r="257" spans="1:37" ht="15">
      <c r="A257" s="2"/>
      <c r="B257" s="2"/>
      <c r="C257" s="2"/>
      <c r="D257" s="2"/>
      <c r="E257" s="34">
        <v>0.37908776238122455</v>
      </c>
      <c r="F257" s="113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  <c r="AC257" s="2"/>
      <c r="AD257" s="2"/>
      <c r="AE257" s="2"/>
      <c r="AF257" s="2"/>
      <c r="AG257" s="2"/>
      <c r="AH257" s="2"/>
      <c r="AI257" s="2"/>
      <c r="AJ257" s="2"/>
      <c r="AK257" s="2"/>
    </row>
    <row r="258" spans="1:37" ht="15">
      <c r="A258" s="2"/>
      <c r="B258" s="2"/>
      <c r="C258" s="2"/>
      <c r="D258" s="2"/>
      <c r="E258" s="34">
        <v>0.43964788851807368</v>
      </c>
      <c r="F258" s="114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  <c r="AC258" s="2"/>
      <c r="AD258" s="2"/>
      <c r="AE258" s="2"/>
      <c r="AF258" s="2"/>
      <c r="AG258" s="2"/>
      <c r="AH258" s="2"/>
      <c r="AI258" s="2"/>
      <c r="AJ258" s="2"/>
      <c r="AK258" s="2"/>
    </row>
    <row r="259" spans="1:37" ht="15">
      <c r="A259" s="2"/>
      <c r="B259" s="2"/>
      <c r="C259" s="2"/>
      <c r="D259" s="2"/>
      <c r="E259" s="34">
        <v>0.45813895237727742</v>
      </c>
      <c r="F259" s="114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  <c r="AC259" s="2"/>
      <c r="AD259" s="2"/>
      <c r="AE259" s="2"/>
      <c r="AF259" s="2"/>
      <c r="AG259" s="2"/>
      <c r="AH259" s="2"/>
      <c r="AI259" s="2"/>
      <c r="AJ259" s="2"/>
      <c r="AK259" s="2"/>
    </row>
    <row r="260" spans="1:37" ht="15">
      <c r="A260" s="2"/>
      <c r="B260" s="2"/>
      <c r="C260" s="2"/>
      <c r="D260" s="2"/>
      <c r="E260" s="34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  <c r="AC260" s="2"/>
      <c r="AD260" s="2"/>
      <c r="AE260" s="2"/>
      <c r="AF260" s="2"/>
      <c r="AG260" s="2"/>
      <c r="AH260" s="2"/>
      <c r="AI260" s="2"/>
      <c r="AJ260" s="2"/>
      <c r="AK260" s="2"/>
    </row>
    <row r="261" spans="1:37" ht="15">
      <c r="A261" s="2"/>
      <c r="B261" s="2"/>
      <c r="C261" s="2"/>
      <c r="D261" s="2"/>
      <c r="E261" s="34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  <c r="AC261" s="2"/>
      <c r="AD261" s="2"/>
      <c r="AE261" s="2"/>
      <c r="AF261" s="2"/>
      <c r="AG261" s="2"/>
      <c r="AH261" s="2"/>
      <c r="AI261" s="2"/>
      <c r="AJ261" s="2"/>
      <c r="AK261" s="2"/>
    </row>
    <row r="262" spans="1:37" ht="15">
      <c r="A262" s="2"/>
      <c r="B262" s="2"/>
      <c r="C262" s="2"/>
      <c r="D262" s="2"/>
      <c r="E262" s="34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  <c r="AC262" s="2"/>
      <c r="AD262" s="2"/>
      <c r="AE262" s="2"/>
      <c r="AF262" s="2"/>
      <c r="AG262" s="2"/>
      <c r="AH262" s="2"/>
      <c r="AI262" s="2"/>
      <c r="AJ262" s="2"/>
      <c r="AK262" s="2"/>
    </row>
    <row r="263" spans="1:37" ht="15">
      <c r="A263" s="2"/>
      <c r="B263" s="2"/>
      <c r="C263" s="2"/>
      <c r="D263" s="2"/>
      <c r="E263" s="34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  <c r="AC263" s="2"/>
      <c r="AD263" s="2"/>
      <c r="AE263" s="2"/>
      <c r="AF263" s="2"/>
      <c r="AG263" s="2"/>
      <c r="AH263" s="2"/>
      <c r="AI263" s="2"/>
      <c r="AJ263" s="2"/>
      <c r="AK263" s="2"/>
    </row>
    <row r="264" spans="1:37" ht="15">
      <c r="A264" s="2"/>
      <c r="B264" s="2"/>
      <c r="C264" s="2"/>
      <c r="D264" s="2"/>
      <c r="E264" s="34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  <c r="AC264" s="2"/>
      <c r="AD264" s="2"/>
      <c r="AE264" s="2"/>
      <c r="AF264" s="2"/>
      <c r="AG264" s="2"/>
      <c r="AH264" s="2"/>
      <c r="AI264" s="2"/>
      <c r="AJ264" s="2"/>
      <c r="AK264" s="2"/>
    </row>
    <row r="265" spans="1:37" ht="15">
      <c r="A265" s="2"/>
      <c r="B265" s="2"/>
      <c r="C265" s="2"/>
      <c r="D265" s="2"/>
      <c r="E265" s="34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  <c r="AC265" s="2"/>
      <c r="AD265" s="2"/>
      <c r="AE265" s="2"/>
      <c r="AF265" s="2"/>
      <c r="AG265" s="2"/>
      <c r="AH265" s="2"/>
      <c r="AI265" s="2"/>
      <c r="AJ265" s="2"/>
      <c r="AK265" s="2"/>
    </row>
    <row r="266" spans="1:37" ht="15">
      <c r="A266" s="2"/>
      <c r="B266" s="2"/>
      <c r="C266" s="2"/>
      <c r="D266" s="2"/>
      <c r="E266" s="34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  <c r="AC266" s="2"/>
      <c r="AD266" s="2"/>
      <c r="AE266" s="2"/>
      <c r="AF266" s="2"/>
      <c r="AG266" s="2"/>
      <c r="AH266" s="2"/>
      <c r="AI266" s="2"/>
      <c r="AJ266" s="2"/>
      <c r="AK266" s="2"/>
    </row>
    <row r="267" spans="1:37" ht="15">
      <c r="A267" s="2"/>
      <c r="B267" s="2"/>
      <c r="C267" s="2"/>
      <c r="D267" s="2"/>
      <c r="E267" s="34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  <c r="AC267" s="2"/>
      <c r="AD267" s="2"/>
      <c r="AE267" s="2"/>
      <c r="AF267" s="2"/>
      <c r="AG267" s="2"/>
      <c r="AH267" s="2"/>
      <c r="AI267" s="2"/>
      <c r="AJ267" s="2"/>
      <c r="AK267" s="2"/>
    </row>
    <row r="268" spans="1:37" ht="15">
      <c r="A268" s="2"/>
      <c r="B268" s="2"/>
      <c r="C268" s="2"/>
      <c r="D268" s="2"/>
      <c r="E268" s="34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  <c r="AC268" s="2"/>
      <c r="AD268" s="2"/>
      <c r="AE268" s="2"/>
      <c r="AF268" s="2"/>
      <c r="AG268" s="2"/>
      <c r="AH268" s="2"/>
      <c r="AI268" s="2"/>
      <c r="AJ268" s="2"/>
      <c r="AK268" s="2"/>
    </row>
    <row r="269" spans="1:37" ht="15">
      <c r="A269" s="2"/>
      <c r="B269" s="2"/>
      <c r="C269" s="2"/>
      <c r="D269" s="2"/>
      <c r="E269" s="34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  <c r="AC269" s="2"/>
      <c r="AD269" s="2"/>
      <c r="AE269" s="2"/>
      <c r="AF269" s="2"/>
      <c r="AG269" s="2"/>
      <c r="AH269" s="2"/>
      <c r="AI269" s="2"/>
      <c r="AJ269" s="2"/>
      <c r="AK269" s="2"/>
    </row>
    <row r="270" spans="1:37" ht="15">
      <c r="A270" s="2"/>
      <c r="B270" s="2"/>
      <c r="C270" s="2"/>
      <c r="D270" s="2"/>
      <c r="E270" s="34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  <c r="AC270" s="2"/>
      <c r="AD270" s="2"/>
      <c r="AE270" s="2"/>
      <c r="AF270" s="2"/>
      <c r="AG270" s="2"/>
      <c r="AH270" s="2"/>
      <c r="AI270" s="2"/>
      <c r="AJ270" s="2"/>
      <c r="AK270" s="2"/>
    </row>
    <row r="271" spans="1:37" ht="15">
      <c r="A271" s="2"/>
      <c r="B271" s="2"/>
      <c r="C271" s="2"/>
      <c r="D271" s="2"/>
      <c r="E271" s="34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  <c r="AC271" s="2"/>
      <c r="AD271" s="2"/>
      <c r="AE271" s="2"/>
      <c r="AF271" s="2"/>
      <c r="AG271" s="2"/>
      <c r="AH271" s="2"/>
      <c r="AI271" s="2"/>
      <c r="AJ271" s="2"/>
      <c r="AK271" s="2"/>
    </row>
    <row r="272" spans="1:37" ht="15">
      <c r="A272" s="2"/>
      <c r="B272" s="2"/>
      <c r="C272" s="2"/>
      <c r="D272" s="2"/>
      <c r="E272" s="34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  <c r="AC272" s="2"/>
      <c r="AD272" s="2"/>
      <c r="AE272" s="2"/>
      <c r="AF272" s="2"/>
      <c r="AG272" s="2"/>
      <c r="AH272" s="2"/>
      <c r="AI272" s="2"/>
      <c r="AJ272" s="2"/>
      <c r="AK272" s="2"/>
    </row>
    <row r="273" spans="1:37" ht="15">
      <c r="A273" s="2"/>
      <c r="B273" s="2"/>
      <c r="C273" s="2"/>
      <c r="D273" s="2"/>
      <c r="E273" s="34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  <c r="AC273" s="2"/>
      <c r="AD273" s="2"/>
      <c r="AE273" s="2"/>
      <c r="AF273" s="2"/>
      <c r="AG273" s="2"/>
      <c r="AH273" s="2"/>
      <c r="AI273" s="2"/>
      <c r="AJ273" s="2"/>
      <c r="AK273" s="2"/>
    </row>
    <row r="274" spans="1:37" ht="15">
      <c r="A274" s="2"/>
      <c r="B274" s="2"/>
      <c r="C274" s="2"/>
      <c r="D274" s="2"/>
      <c r="E274" s="34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  <c r="AC274" s="2"/>
      <c r="AD274" s="2"/>
      <c r="AE274" s="2"/>
      <c r="AF274" s="2"/>
      <c r="AG274" s="2"/>
      <c r="AH274" s="2"/>
      <c r="AI274" s="2"/>
      <c r="AJ274" s="2"/>
      <c r="AK274" s="2"/>
    </row>
    <row r="275" spans="1:37" ht="15">
      <c r="A275" s="2"/>
      <c r="B275" s="2"/>
      <c r="C275" s="2"/>
      <c r="D275" s="2"/>
      <c r="E275" s="34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  <c r="AC275" s="2"/>
      <c r="AD275" s="2"/>
      <c r="AE275" s="2"/>
      <c r="AF275" s="2"/>
      <c r="AG275" s="2"/>
      <c r="AH275" s="2"/>
      <c r="AI275" s="2"/>
      <c r="AJ275" s="2"/>
      <c r="AK275" s="2"/>
    </row>
    <row r="276" spans="1:37" ht="15">
      <c r="A276" s="2"/>
      <c r="B276" s="2"/>
      <c r="C276" s="2"/>
      <c r="D276" s="2"/>
      <c r="E276" s="34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  <c r="AC276" s="2"/>
      <c r="AD276" s="2"/>
      <c r="AE276" s="2"/>
      <c r="AF276" s="2"/>
      <c r="AG276" s="2"/>
      <c r="AH276" s="2"/>
      <c r="AI276" s="2"/>
      <c r="AJ276" s="2"/>
      <c r="AK276" s="2"/>
    </row>
    <row r="277" spans="1:37" ht="15">
      <c r="A277" s="2"/>
      <c r="B277" s="2"/>
      <c r="C277" s="2"/>
      <c r="D277" s="2"/>
      <c r="E277" s="34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  <c r="AC277" s="2"/>
      <c r="AD277" s="2"/>
      <c r="AE277" s="2"/>
      <c r="AF277" s="2"/>
      <c r="AG277" s="2"/>
      <c r="AH277" s="2"/>
      <c r="AI277" s="2"/>
      <c r="AJ277" s="2"/>
      <c r="AK277" s="2"/>
    </row>
    <row r="278" spans="1:37" ht="15">
      <c r="A278" s="2"/>
      <c r="B278" s="2"/>
      <c r="C278" s="2"/>
      <c r="D278" s="2"/>
      <c r="E278" s="34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  <c r="AC278" s="2"/>
      <c r="AD278" s="2"/>
      <c r="AE278" s="2"/>
      <c r="AF278" s="2"/>
      <c r="AG278" s="2"/>
      <c r="AH278" s="2"/>
      <c r="AI278" s="2"/>
      <c r="AJ278" s="2"/>
      <c r="AK278" s="2"/>
    </row>
    <row r="279" spans="1:37" ht="15">
      <c r="A279" s="2"/>
      <c r="B279" s="2"/>
      <c r="C279" s="2"/>
      <c r="D279" s="2"/>
      <c r="E279" s="34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  <c r="AC279" s="2"/>
      <c r="AD279" s="2"/>
      <c r="AE279" s="2"/>
      <c r="AF279" s="2"/>
      <c r="AG279" s="2"/>
      <c r="AH279" s="2"/>
      <c r="AI279" s="2"/>
      <c r="AJ279" s="2"/>
      <c r="AK279" s="2"/>
    </row>
    <row r="280" spans="1:37" ht="15">
      <c r="A280" s="2"/>
      <c r="B280" s="2"/>
      <c r="C280" s="2"/>
      <c r="D280" s="2"/>
      <c r="E280" s="34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  <c r="AC280" s="2"/>
      <c r="AD280" s="2"/>
      <c r="AE280" s="2"/>
      <c r="AF280" s="2"/>
      <c r="AG280" s="2"/>
      <c r="AH280" s="2"/>
      <c r="AI280" s="2"/>
      <c r="AJ280" s="2"/>
      <c r="AK280" s="2"/>
    </row>
    <row r="281" spans="1:37" ht="15">
      <c r="A281" s="2"/>
      <c r="B281" s="2"/>
      <c r="C281" s="2"/>
      <c r="D281" s="2"/>
      <c r="E281" s="34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  <c r="AC281" s="2"/>
      <c r="AD281" s="2"/>
      <c r="AE281" s="2"/>
      <c r="AF281" s="2"/>
      <c r="AG281" s="2"/>
      <c r="AH281" s="2"/>
      <c r="AI281" s="2"/>
      <c r="AJ281" s="2"/>
      <c r="AK281" s="2"/>
    </row>
    <row r="282" spans="1:37" ht="15">
      <c r="A282" s="2"/>
      <c r="B282" s="2"/>
      <c r="C282" s="2"/>
      <c r="D282" s="2"/>
      <c r="E282" s="34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  <c r="AC282" s="2"/>
      <c r="AD282" s="2"/>
      <c r="AE282" s="2"/>
      <c r="AF282" s="2"/>
      <c r="AG282" s="2"/>
      <c r="AH282" s="2"/>
      <c r="AI282" s="2"/>
      <c r="AJ282" s="2"/>
      <c r="AK282" s="2"/>
    </row>
    <row r="283" spans="1:37" ht="15">
      <c r="A283" s="2"/>
      <c r="B283" s="2"/>
      <c r="C283" s="2"/>
      <c r="D283" s="2"/>
      <c r="E283" s="34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  <c r="AC283" s="2"/>
      <c r="AD283" s="2"/>
      <c r="AE283" s="2"/>
      <c r="AF283" s="2"/>
      <c r="AG283" s="2"/>
      <c r="AH283" s="2"/>
      <c r="AI283" s="2"/>
      <c r="AJ283" s="2"/>
      <c r="AK283" s="2"/>
    </row>
    <row r="284" spans="1:37" ht="15">
      <c r="A284" s="2"/>
      <c r="B284" s="2"/>
      <c r="C284" s="2"/>
      <c r="D284" s="2"/>
      <c r="E284" s="34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  <c r="AC284" s="2"/>
      <c r="AD284" s="2"/>
      <c r="AE284" s="2"/>
      <c r="AF284" s="2"/>
      <c r="AG284" s="2"/>
      <c r="AH284" s="2"/>
      <c r="AI284" s="2"/>
      <c r="AJ284" s="2"/>
      <c r="AK284" s="2"/>
    </row>
    <row r="285" spans="1:37" ht="15">
      <c r="A285" s="2"/>
      <c r="B285" s="2"/>
      <c r="C285" s="2"/>
      <c r="D285" s="2"/>
      <c r="E285" s="34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  <c r="AC285" s="2"/>
      <c r="AD285" s="2"/>
      <c r="AE285" s="2"/>
      <c r="AF285" s="2"/>
      <c r="AG285" s="2"/>
      <c r="AH285" s="2"/>
      <c r="AI285" s="2"/>
      <c r="AJ285" s="2"/>
      <c r="AK285" s="2"/>
    </row>
    <row r="286" spans="1:37" ht="15">
      <c r="A286" s="2"/>
      <c r="B286" s="2"/>
      <c r="C286" s="2"/>
      <c r="D286" s="2"/>
      <c r="E286" s="34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  <c r="AC286" s="2"/>
      <c r="AD286" s="2"/>
      <c r="AE286" s="2"/>
      <c r="AF286" s="2"/>
      <c r="AG286" s="2"/>
      <c r="AH286" s="2"/>
      <c r="AI286" s="2"/>
      <c r="AJ286" s="2"/>
      <c r="AK286" s="2"/>
    </row>
    <row r="287" spans="1:37" ht="15">
      <c r="A287" s="2"/>
      <c r="B287" s="2"/>
      <c r="C287" s="2"/>
      <c r="D287" s="2"/>
      <c r="E287" s="34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  <c r="AC287" s="2"/>
      <c r="AD287" s="2"/>
      <c r="AE287" s="2"/>
      <c r="AF287" s="2"/>
      <c r="AG287" s="2"/>
      <c r="AH287" s="2"/>
      <c r="AI287" s="2"/>
      <c r="AJ287" s="2"/>
      <c r="AK287" s="2"/>
    </row>
    <row r="288" spans="1:37" ht="15">
      <c r="A288" s="2"/>
      <c r="B288" s="2"/>
      <c r="C288" s="2"/>
      <c r="D288" s="2"/>
      <c r="E288" s="34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  <c r="AC288" s="2"/>
      <c r="AD288" s="2"/>
      <c r="AE288" s="2"/>
      <c r="AF288" s="2"/>
      <c r="AG288" s="2"/>
      <c r="AH288" s="2"/>
      <c r="AI288" s="2"/>
      <c r="AJ288" s="2"/>
      <c r="AK288" s="2"/>
    </row>
    <row r="289" spans="1:37" ht="15">
      <c r="A289" s="2"/>
      <c r="B289" s="2"/>
      <c r="C289" s="2"/>
      <c r="D289" s="2"/>
      <c r="E289" s="34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  <c r="AC289" s="2"/>
      <c r="AD289" s="2"/>
      <c r="AE289" s="2"/>
      <c r="AF289" s="2"/>
      <c r="AG289" s="2"/>
      <c r="AH289" s="2"/>
      <c r="AI289" s="2"/>
      <c r="AJ289" s="2"/>
      <c r="AK289" s="2"/>
    </row>
    <row r="290" spans="1:37" ht="15">
      <c r="A290" s="2"/>
      <c r="B290" s="2"/>
      <c r="C290" s="2"/>
      <c r="D290" s="2"/>
      <c r="E290" s="34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  <c r="AC290" s="2"/>
      <c r="AD290" s="2"/>
      <c r="AE290" s="2"/>
      <c r="AF290" s="2"/>
      <c r="AG290" s="2"/>
      <c r="AH290" s="2"/>
      <c r="AI290" s="2"/>
      <c r="AJ290" s="2"/>
      <c r="AK290" s="2"/>
    </row>
    <row r="291" spans="1:37" ht="15">
      <c r="A291" s="2"/>
      <c r="B291" s="2"/>
      <c r="C291" s="2"/>
      <c r="D291" s="2"/>
      <c r="E291" s="34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  <c r="AC291" s="2"/>
      <c r="AD291" s="2"/>
      <c r="AE291" s="2"/>
      <c r="AF291" s="2"/>
      <c r="AG291" s="2"/>
      <c r="AH291" s="2"/>
      <c r="AI291" s="2"/>
      <c r="AJ291" s="2"/>
      <c r="AK291" s="2"/>
    </row>
    <row r="292" spans="1:37" ht="15">
      <c r="A292" s="2"/>
      <c r="B292" s="2"/>
      <c r="C292" s="2"/>
      <c r="D292" s="2"/>
      <c r="E292" s="34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  <c r="AC292" s="2"/>
      <c r="AD292" s="2"/>
      <c r="AE292" s="2"/>
      <c r="AF292" s="2"/>
      <c r="AG292" s="2"/>
      <c r="AH292" s="2"/>
      <c r="AI292" s="2"/>
      <c r="AJ292" s="2"/>
      <c r="AK292" s="2"/>
    </row>
    <row r="293" spans="1:37" ht="15">
      <c r="A293" s="2"/>
      <c r="B293" s="2"/>
      <c r="C293" s="2"/>
      <c r="D293" s="2"/>
      <c r="E293" s="34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  <c r="AC293" s="2"/>
      <c r="AD293" s="2"/>
      <c r="AE293" s="2"/>
      <c r="AF293" s="2"/>
      <c r="AG293" s="2"/>
      <c r="AH293" s="2"/>
      <c r="AI293" s="2"/>
      <c r="AJ293" s="2"/>
      <c r="AK293" s="2"/>
    </row>
    <row r="294" spans="1:37" ht="15">
      <c r="A294" s="2"/>
      <c r="B294" s="2"/>
      <c r="C294" s="2"/>
      <c r="D294" s="2"/>
      <c r="E294" s="34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  <c r="AC294" s="2"/>
      <c r="AD294" s="2"/>
      <c r="AE294" s="2"/>
      <c r="AF294" s="2"/>
      <c r="AG294" s="2"/>
      <c r="AH294" s="2"/>
      <c r="AI294" s="2"/>
      <c r="AJ294" s="2"/>
      <c r="AK294" s="2"/>
    </row>
    <row r="295" spans="1:37" ht="15">
      <c r="A295" s="2"/>
      <c r="B295" s="2"/>
      <c r="C295" s="2"/>
      <c r="D295" s="2"/>
      <c r="E295" s="34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  <c r="AC295" s="2"/>
      <c r="AD295" s="2"/>
      <c r="AE295" s="2"/>
      <c r="AF295" s="2"/>
      <c r="AG295" s="2"/>
      <c r="AH295" s="2"/>
      <c r="AI295" s="2"/>
      <c r="AJ295" s="2"/>
      <c r="AK295" s="2"/>
    </row>
    <row r="296" spans="1:37" ht="15">
      <c r="A296" s="2"/>
      <c r="B296" s="2"/>
      <c r="C296" s="2"/>
      <c r="D296" s="2"/>
      <c r="E296" s="34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  <c r="AC296" s="2"/>
      <c r="AD296" s="2"/>
      <c r="AE296" s="2"/>
      <c r="AF296" s="2"/>
      <c r="AG296" s="2"/>
      <c r="AH296" s="2"/>
      <c r="AI296" s="2"/>
      <c r="AJ296" s="2"/>
      <c r="AK296" s="2"/>
    </row>
    <row r="297" spans="1:37" ht="15">
      <c r="A297" s="2"/>
      <c r="B297" s="2"/>
      <c r="C297" s="2"/>
      <c r="D297" s="2"/>
      <c r="E297" s="34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  <c r="AC297" s="2"/>
      <c r="AD297" s="2"/>
      <c r="AE297" s="2"/>
      <c r="AF297" s="2"/>
      <c r="AG297" s="2"/>
      <c r="AH297" s="2"/>
      <c r="AI297" s="2"/>
      <c r="AJ297" s="2"/>
      <c r="AK297" s="2"/>
    </row>
    <row r="298" spans="1:37" ht="15">
      <c r="A298" s="2"/>
      <c r="B298" s="2"/>
      <c r="C298" s="2"/>
      <c r="D298" s="2"/>
      <c r="E298" s="34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  <c r="AC298" s="2"/>
      <c r="AD298" s="2"/>
      <c r="AE298" s="2"/>
      <c r="AF298" s="2"/>
      <c r="AG298" s="2"/>
      <c r="AH298" s="2"/>
      <c r="AI298" s="2"/>
      <c r="AJ298" s="2"/>
      <c r="AK298" s="2"/>
    </row>
    <row r="299" spans="1:37" ht="15">
      <c r="A299" s="2"/>
      <c r="B299" s="2"/>
      <c r="C299" s="2"/>
      <c r="D299" s="2"/>
      <c r="E299" s="34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  <c r="AC299" s="2"/>
      <c r="AD299" s="2"/>
      <c r="AE299" s="2"/>
      <c r="AF299" s="2"/>
      <c r="AG299" s="2"/>
      <c r="AH299" s="2"/>
      <c r="AI299" s="2"/>
      <c r="AJ299" s="2"/>
      <c r="AK299" s="2"/>
    </row>
    <row r="300" spans="1:37" ht="15">
      <c r="A300" s="2"/>
      <c r="B300" s="2"/>
      <c r="C300" s="2"/>
      <c r="D300" s="2"/>
      <c r="E300" s="34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  <c r="AC300" s="2"/>
      <c r="AD300" s="2"/>
      <c r="AE300" s="2"/>
      <c r="AF300" s="2"/>
      <c r="AG300" s="2"/>
      <c r="AH300" s="2"/>
      <c r="AI300" s="2"/>
      <c r="AJ300" s="2"/>
      <c r="AK300" s="2"/>
    </row>
    <row r="301" spans="1:37" ht="15">
      <c r="A301" s="2"/>
      <c r="B301" s="2"/>
      <c r="C301" s="2"/>
      <c r="D301" s="2"/>
      <c r="E301" s="34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  <c r="AC301" s="2"/>
      <c r="AD301" s="2"/>
      <c r="AE301" s="2"/>
      <c r="AF301" s="2"/>
      <c r="AG301" s="2"/>
      <c r="AH301" s="2"/>
      <c r="AI301" s="2"/>
      <c r="AJ301" s="2"/>
      <c r="AK301" s="2"/>
    </row>
    <row r="302" spans="1:37" ht="15">
      <c r="A302" s="2"/>
      <c r="B302" s="2"/>
      <c r="C302" s="2"/>
      <c r="D302" s="2"/>
      <c r="E302" s="34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  <c r="AC302" s="2"/>
      <c r="AD302" s="2"/>
      <c r="AE302" s="2"/>
      <c r="AF302" s="2"/>
      <c r="AG302" s="2"/>
      <c r="AH302" s="2"/>
      <c r="AI302" s="2"/>
      <c r="AJ302" s="2"/>
      <c r="AK302" s="2"/>
    </row>
    <row r="303" spans="1:37" ht="15">
      <c r="A303" s="2"/>
      <c r="B303" s="2"/>
      <c r="C303" s="2"/>
      <c r="D303" s="2"/>
      <c r="E303" s="34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  <c r="AC303" s="2"/>
      <c r="AD303" s="2"/>
      <c r="AE303" s="2"/>
      <c r="AF303" s="2"/>
      <c r="AG303" s="2"/>
      <c r="AH303" s="2"/>
      <c r="AI303" s="2"/>
      <c r="AJ303" s="2"/>
      <c r="AK303" s="2"/>
    </row>
    <row r="304" spans="1:37" ht="15">
      <c r="A304" s="2"/>
      <c r="B304" s="2"/>
      <c r="C304" s="2"/>
      <c r="D304" s="2"/>
      <c r="E304" s="34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  <c r="AC304" s="2"/>
      <c r="AD304" s="2"/>
      <c r="AE304" s="2"/>
      <c r="AF304" s="2"/>
      <c r="AG304" s="2"/>
      <c r="AH304" s="2"/>
      <c r="AI304" s="2"/>
      <c r="AJ304" s="2"/>
      <c r="AK304" s="2"/>
    </row>
    <row r="305" spans="1:37" ht="15">
      <c r="A305" s="2"/>
      <c r="B305" s="2"/>
      <c r="C305" s="2"/>
      <c r="D305" s="2"/>
      <c r="E305" s="34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  <c r="AC305" s="2"/>
      <c r="AD305" s="2"/>
      <c r="AE305" s="2"/>
      <c r="AF305" s="2"/>
      <c r="AG305" s="2"/>
      <c r="AH305" s="2"/>
      <c r="AI305" s="2"/>
      <c r="AJ305" s="2"/>
      <c r="AK305" s="2"/>
    </row>
    <row r="306" spans="1:37" ht="15">
      <c r="A306" s="2"/>
      <c r="B306" s="2"/>
      <c r="C306" s="2"/>
      <c r="D306" s="2"/>
      <c r="E306" s="34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  <c r="AC306" s="2"/>
      <c r="AD306" s="2"/>
      <c r="AE306" s="2"/>
      <c r="AF306" s="2"/>
      <c r="AG306" s="2"/>
      <c r="AH306" s="2"/>
      <c r="AI306" s="2"/>
      <c r="AJ306" s="2"/>
      <c r="AK306" s="2"/>
    </row>
    <row r="307" spans="1:37" ht="15">
      <c r="A307" s="2"/>
      <c r="B307" s="2"/>
      <c r="C307" s="2"/>
      <c r="D307" s="2"/>
      <c r="E307" s="34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  <c r="AC307" s="2"/>
      <c r="AD307" s="2"/>
      <c r="AE307" s="2"/>
      <c r="AF307" s="2"/>
      <c r="AG307" s="2"/>
      <c r="AH307" s="2"/>
      <c r="AI307" s="2"/>
      <c r="AJ307" s="2"/>
      <c r="AK307" s="2"/>
    </row>
    <row r="308" spans="1:37" ht="15">
      <c r="A308" s="2"/>
      <c r="B308" s="2"/>
      <c r="C308" s="2"/>
      <c r="D308" s="2"/>
      <c r="E308" s="34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  <c r="AC308" s="2"/>
      <c r="AD308" s="2"/>
      <c r="AE308" s="2"/>
      <c r="AF308" s="2"/>
      <c r="AG308" s="2"/>
      <c r="AH308" s="2"/>
      <c r="AI308" s="2"/>
      <c r="AJ308" s="2"/>
      <c r="AK308" s="2"/>
    </row>
    <row r="309" spans="1:37" ht="15">
      <c r="A309" s="2"/>
      <c r="B309" s="2"/>
      <c r="C309" s="2"/>
      <c r="D309" s="2"/>
      <c r="E309" s="34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  <c r="AC309" s="2"/>
      <c r="AD309" s="2"/>
      <c r="AE309" s="2"/>
      <c r="AF309" s="2"/>
      <c r="AG309" s="2"/>
      <c r="AH309" s="2"/>
      <c r="AI309" s="2"/>
      <c r="AJ309" s="2"/>
      <c r="AK309" s="2"/>
    </row>
    <row r="310" spans="1:37" ht="15">
      <c r="A310" s="2"/>
      <c r="B310" s="2"/>
      <c r="C310" s="2"/>
      <c r="D310" s="2"/>
      <c r="E310" s="34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  <c r="AC310" s="2"/>
      <c r="AD310" s="2"/>
      <c r="AE310" s="2"/>
      <c r="AF310" s="2"/>
      <c r="AG310" s="2"/>
      <c r="AH310" s="2"/>
      <c r="AI310" s="2"/>
      <c r="AJ310" s="2"/>
      <c r="AK310" s="2"/>
    </row>
    <row r="311" spans="1:37" ht="15">
      <c r="A311" s="2"/>
      <c r="B311" s="2"/>
      <c r="C311" s="2"/>
      <c r="D311" s="2"/>
      <c r="E311" s="34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  <c r="AC311" s="2"/>
      <c r="AD311" s="2"/>
      <c r="AE311" s="2"/>
      <c r="AF311" s="2"/>
      <c r="AG311" s="2"/>
      <c r="AH311" s="2"/>
      <c r="AI311" s="2"/>
      <c r="AJ311" s="2"/>
      <c r="AK311" s="2"/>
    </row>
    <row r="312" spans="1:37" ht="15">
      <c r="A312" s="2"/>
      <c r="B312" s="2"/>
      <c r="C312" s="2"/>
      <c r="D312" s="2"/>
      <c r="E312" s="34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  <c r="AC312" s="2"/>
      <c r="AD312" s="2"/>
      <c r="AE312" s="2"/>
      <c r="AF312" s="2"/>
      <c r="AG312" s="2"/>
      <c r="AH312" s="2"/>
      <c r="AI312" s="2"/>
      <c r="AJ312" s="2"/>
      <c r="AK312" s="2"/>
    </row>
    <row r="313" spans="1:37" ht="15">
      <c r="A313" s="2"/>
      <c r="B313" s="2"/>
      <c r="C313" s="2"/>
      <c r="D313" s="2"/>
      <c r="E313" s="34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  <c r="AC313" s="2"/>
      <c r="AD313" s="2"/>
      <c r="AE313" s="2"/>
      <c r="AF313" s="2"/>
      <c r="AG313" s="2"/>
      <c r="AH313" s="2"/>
      <c r="AI313" s="2"/>
      <c r="AJ313" s="2"/>
      <c r="AK313" s="2"/>
    </row>
    <row r="314" spans="1:37" ht="15">
      <c r="A314" s="2"/>
      <c r="B314" s="2"/>
      <c r="C314" s="2"/>
      <c r="D314" s="2"/>
      <c r="E314" s="34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  <c r="AC314" s="2"/>
      <c r="AD314" s="2"/>
      <c r="AE314" s="2"/>
      <c r="AF314" s="2"/>
      <c r="AG314" s="2"/>
      <c r="AH314" s="2"/>
      <c r="AI314" s="2"/>
      <c r="AJ314" s="2"/>
      <c r="AK314" s="2"/>
    </row>
    <row r="315" spans="1:37" ht="15">
      <c r="A315" s="2"/>
      <c r="B315" s="2"/>
      <c r="C315" s="2"/>
      <c r="D315" s="2"/>
      <c r="E315" s="34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  <c r="AC315" s="2"/>
      <c r="AD315" s="2"/>
      <c r="AE315" s="2"/>
      <c r="AF315" s="2"/>
      <c r="AG315" s="2"/>
      <c r="AH315" s="2"/>
      <c r="AI315" s="2"/>
      <c r="AJ315" s="2"/>
      <c r="AK315" s="2"/>
    </row>
    <row r="316" spans="1:37" ht="15">
      <c r="A316" s="2"/>
      <c r="B316" s="2"/>
      <c r="C316" s="2"/>
      <c r="D316" s="2"/>
      <c r="E316" s="34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  <c r="AC316" s="2"/>
      <c r="AD316" s="2"/>
      <c r="AE316" s="2"/>
      <c r="AF316" s="2"/>
      <c r="AG316" s="2"/>
      <c r="AH316" s="2"/>
      <c r="AI316" s="2"/>
      <c r="AJ316" s="2"/>
      <c r="AK316" s="2"/>
    </row>
    <row r="317" spans="1:37" ht="15">
      <c r="A317" s="2"/>
      <c r="B317" s="2"/>
      <c r="C317" s="2"/>
      <c r="D317" s="2"/>
      <c r="E317" s="34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  <c r="AC317" s="2"/>
      <c r="AD317" s="2"/>
      <c r="AE317" s="2"/>
      <c r="AF317" s="2"/>
      <c r="AG317" s="2"/>
      <c r="AH317" s="2"/>
      <c r="AI317" s="2"/>
      <c r="AJ317" s="2"/>
      <c r="AK317" s="2"/>
    </row>
    <row r="318" spans="1:37" ht="15">
      <c r="A318" s="2"/>
      <c r="B318" s="2"/>
      <c r="C318" s="2"/>
      <c r="D318" s="2"/>
      <c r="E318" s="34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  <c r="AC318" s="2"/>
      <c r="AD318" s="2"/>
      <c r="AE318" s="2"/>
      <c r="AF318" s="2"/>
      <c r="AG318" s="2"/>
      <c r="AH318" s="2"/>
      <c r="AI318" s="2"/>
      <c r="AJ318" s="2"/>
      <c r="AK318" s="2"/>
    </row>
    <row r="319" spans="1:37" ht="15">
      <c r="A319" s="2"/>
      <c r="B319" s="2"/>
      <c r="C319" s="2"/>
      <c r="D319" s="2"/>
      <c r="E319" s="34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  <c r="AC319" s="2"/>
      <c r="AD319" s="2"/>
      <c r="AE319" s="2"/>
      <c r="AF319" s="2"/>
      <c r="AG319" s="2"/>
      <c r="AH319" s="2"/>
      <c r="AI319" s="2"/>
      <c r="AJ319" s="2"/>
      <c r="AK319" s="2"/>
    </row>
    <row r="320" spans="1:37" ht="15">
      <c r="A320" s="2"/>
      <c r="B320" s="2"/>
      <c r="C320" s="2"/>
      <c r="D320" s="2"/>
      <c r="E320" s="34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  <c r="AC320" s="2"/>
      <c r="AD320" s="2"/>
      <c r="AE320" s="2"/>
      <c r="AF320" s="2"/>
      <c r="AG320" s="2"/>
      <c r="AH320" s="2"/>
      <c r="AI320" s="2"/>
      <c r="AJ320" s="2"/>
      <c r="AK320" s="2"/>
    </row>
    <row r="321" spans="1:37" ht="15">
      <c r="A321" s="2"/>
      <c r="B321" s="2"/>
      <c r="C321" s="2"/>
      <c r="D321" s="2"/>
      <c r="E321" s="34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  <c r="AC321" s="2"/>
      <c r="AD321" s="2"/>
      <c r="AE321" s="2"/>
      <c r="AF321" s="2"/>
      <c r="AG321" s="2"/>
      <c r="AH321" s="2"/>
      <c r="AI321" s="2"/>
      <c r="AJ321" s="2"/>
      <c r="AK321" s="2"/>
    </row>
    <row r="322" spans="1:37" ht="15">
      <c r="A322" s="2"/>
      <c r="B322" s="2"/>
      <c r="C322" s="2"/>
      <c r="D322" s="2"/>
      <c r="E322" s="34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  <c r="AC322" s="2"/>
      <c r="AD322" s="2"/>
      <c r="AE322" s="2"/>
      <c r="AF322" s="2"/>
      <c r="AG322" s="2"/>
      <c r="AH322" s="2"/>
      <c r="AI322" s="2"/>
      <c r="AJ322" s="2"/>
      <c r="AK322" s="2"/>
    </row>
    <row r="323" spans="1:37" ht="15">
      <c r="A323" s="2"/>
      <c r="B323" s="2"/>
      <c r="C323" s="2"/>
      <c r="D323" s="2"/>
      <c r="E323" s="34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  <c r="AC323" s="2"/>
      <c r="AD323" s="2"/>
      <c r="AE323" s="2"/>
      <c r="AF323" s="2"/>
      <c r="AG323" s="2"/>
      <c r="AH323" s="2"/>
      <c r="AI323" s="2"/>
      <c r="AJ323" s="2"/>
      <c r="AK323" s="2"/>
    </row>
    <row r="324" spans="1:37" ht="15">
      <c r="A324" s="2"/>
      <c r="B324" s="2"/>
      <c r="C324" s="2"/>
      <c r="D324" s="2"/>
      <c r="E324" s="34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  <c r="AC324" s="2"/>
      <c r="AD324" s="2"/>
      <c r="AE324" s="2"/>
      <c r="AF324" s="2"/>
      <c r="AG324" s="2"/>
      <c r="AH324" s="2"/>
      <c r="AI324" s="2"/>
      <c r="AJ324" s="2"/>
      <c r="AK324" s="2"/>
    </row>
    <row r="325" spans="1:37" ht="15">
      <c r="A325" s="2"/>
      <c r="B325" s="2"/>
      <c r="C325" s="2"/>
      <c r="D325" s="2"/>
      <c r="E325" s="34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  <c r="AC325" s="2"/>
      <c r="AD325" s="2"/>
      <c r="AE325" s="2"/>
      <c r="AF325" s="2"/>
      <c r="AG325" s="2"/>
      <c r="AH325" s="2"/>
      <c r="AI325" s="2"/>
      <c r="AJ325" s="2"/>
      <c r="AK325" s="2"/>
    </row>
    <row r="326" spans="1:37" ht="15">
      <c r="A326" s="2"/>
      <c r="B326" s="2"/>
      <c r="C326" s="2"/>
      <c r="D326" s="2"/>
      <c r="E326" s="34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  <c r="AC326" s="2"/>
      <c r="AD326" s="2"/>
      <c r="AE326" s="2"/>
      <c r="AF326" s="2"/>
      <c r="AG326" s="2"/>
      <c r="AH326" s="2"/>
      <c r="AI326" s="2"/>
      <c r="AJ326" s="2"/>
      <c r="AK326" s="2"/>
    </row>
    <row r="327" spans="1:37" ht="15">
      <c r="A327" s="2"/>
      <c r="B327" s="2"/>
      <c r="C327" s="2"/>
      <c r="D327" s="2"/>
      <c r="E327" s="34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  <c r="AC327" s="2"/>
      <c r="AD327" s="2"/>
      <c r="AE327" s="2"/>
      <c r="AF327" s="2"/>
      <c r="AG327" s="2"/>
      <c r="AH327" s="2"/>
      <c r="AI327" s="2"/>
      <c r="AJ327" s="2"/>
      <c r="AK327" s="2"/>
    </row>
    <row r="328" spans="1:37" ht="15">
      <c r="A328" s="2"/>
      <c r="B328" s="2"/>
      <c r="C328" s="2"/>
      <c r="D328" s="2"/>
      <c r="E328" s="34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  <c r="AC328" s="2"/>
      <c r="AD328" s="2"/>
      <c r="AE328" s="2"/>
      <c r="AF328" s="2"/>
      <c r="AG328" s="2"/>
      <c r="AH328" s="2"/>
      <c r="AI328" s="2"/>
      <c r="AJ328" s="2"/>
      <c r="AK328" s="2"/>
    </row>
    <row r="329" spans="1:37" ht="15">
      <c r="A329" s="2"/>
      <c r="B329" s="2"/>
      <c r="C329" s="2"/>
      <c r="D329" s="2"/>
      <c r="E329" s="34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  <c r="AC329" s="2"/>
      <c r="AD329" s="2"/>
      <c r="AE329" s="2"/>
      <c r="AF329" s="2"/>
      <c r="AG329" s="2"/>
      <c r="AH329" s="2"/>
      <c r="AI329" s="2"/>
      <c r="AJ329" s="2"/>
      <c r="AK329" s="2"/>
    </row>
    <row r="330" spans="1:37" ht="15">
      <c r="A330" s="2"/>
      <c r="B330" s="2"/>
      <c r="C330" s="2"/>
      <c r="D330" s="2"/>
      <c r="E330" s="34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  <c r="AC330" s="2"/>
      <c r="AD330" s="2"/>
      <c r="AE330" s="2"/>
      <c r="AF330" s="2"/>
      <c r="AG330" s="2"/>
      <c r="AH330" s="2"/>
      <c r="AI330" s="2"/>
      <c r="AJ330" s="2"/>
      <c r="AK330" s="2"/>
    </row>
    <row r="331" spans="1:37" ht="15">
      <c r="A331" s="2"/>
      <c r="B331" s="2"/>
      <c r="C331" s="2"/>
      <c r="D331" s="2"/>
      <c r="E331" s="34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  <c r="AC331" s="2"/>
      <c r="AD331" s="2"/>
      <c r="AE331" s="2"/>
      <c r="AF331" s="2"/>
      <c r="AG331" s="2"/>
      <c r="AH331" s="2"/>
      <c r="AI331" s="2"/>
      <c r="AJ331" s="2"/>
      <c r="AK331" s="2"/>
    </row>
    <row r="332" spans="1:37" ht="15">
      <c r="A332" s="2"/>
      <c r="B332" s="2"/>
      <c r="C332" s="2"/>
      <c r="D332" s="2"/>
      <c r="E332" s="34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  <c r="AC332" s="2"/>
      <c r="AD332" s="2"/>
      <c r="AE332" s="2"/>
      <c r="AF332" s="2"/>
      <c r="AG332" s="2"/>
      <c r="AH332" s="2"/>
      <c r="AI332" s="2"/>
      <c r="AJ332" s="2"/>
      <c r="AK332" s="2"/>
    </row>
    <row r="333" spans="1:37" ht="15">
      <c r="A333" s="2"/>
      <c r="B333" s="2"/>
      <c r="C333" s="2"/>
      <c r="D333" s="2"/>
      <c r="E333" s="34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  <c r="AC333" s="2"/>
      <c r="AD333" s="2"/>
      <c r="AE333" s="2"/>
      <c r="AF333" s="2"/>
      <c r="AG333" s="2"/>
      <c r="AH333" s="2"/>
      <c r="AI333" s="2"/>
      <c r="AJ333" s="2"/>
      <c r="AK333" s="2"/>
    </row>
    <row r="334" spans="1:37" ht="15">
      <c r="A334" s="2"/>
      <c r="B334" s="2"/>
      <c r="C334" s="2"/>
      <c r="D334" s="2"/>
      <c r="E334" s="34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  <c r="AC334" s="2"/>
      <c r="AD334" s="2"/>
      <c r="AE334" s="2"/>
      <c r="AF334" s="2"/>
      <c r="AG334" s="2"/>
      <c r="AH334" s="2"/>
      <c r="AI334" s="2"/>
      <c r="AJ334" s="2"/>
      <c r="AK334" s="2"/>
    </row>
    <row r="335" spans="1:37" ht="15">
      <c r="A335" s="2"/>
      <c r="B335" s="2"/>
      <c r="C335" s="2"/>
      <c r="D335" s="2"/>
      <c r="E335" s="34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  <c r="AC335" s="2"/>
      <c r="AD335" s="2"/>
      <c r="AE335" s="2"/>
      <c r="AF335" s="2"/>
      <c r="AG335" s="2"/>
      <c r="AH335" s="2"/>
      <c r="AI335" s="2"/>
      <c r="AJ335" s="2"/>
      <c r="AK335" s="2"/>
    </row>
    <row r="336" spans="1:37" ht="15">
      <c r="A336" s="2"/>
      <c r="B336" s="2"/>
      <c r="C336" s="2"/>
      <c r="D336" s="2"/>
      <c r="E336" s="34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  <c r="AC336" s="2"/>
      <c r="AD336" s="2"/>
      <c r="AE336" s="2"/>
      <c r="AF336" s="2"/>
      <c r="AG336" s="2"/>
      <c r="AH336" s="2"/>
      <c r="AI336" s="2"/>
      <c r="AJ336" s="2"/>
      <c r="AK336" s="2"/>
    </row>
    <row r="337" spans="1:37" ht="15">
      <c r="A337" s="2"/>
      <c r="B337" s="2"/>
      <c r="C337" s="2"/>
      <c r="D337" s="2"/>
      <c r="E337" s="34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  <c r="AC337" s="2"/>
      <c r="AD337" s="2"/>
      <c r="AE337" s="2"/>
      <c r="AF337" s="2"/>
      <c r="AG337" s="2"/>
      <c r="AH337" s="2"/>
      <c r="AI337" s="2"/>
      <c r="AJ337" s="2"/>
      <c r="AK337" s="2"/>
    </row>
    <row r="338" spans="1:37" ht="15">
      <c r="A338" s="2"/>
      <c r="B338" s="2"/>
      <c r="C338" s="2"/>
      <c r="D338" s="2"/>
      <c r="E338" s="34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  <c r="AC338" s="2"/>
      <c r="AD338" s="2"/>
      <c r="AE338" s="2"/>
      <c r="AF338" s="2"/>
      <c r="AG338" s="2"/>
      <c r="AH338" s="2"/>
      <c r="AI338" s="2"/>
      <c r="AJ338" s="2"/>
      <c r="AK338" s="2"/>
    </row>
    <row r="339" spans="1:37" ht="15">
      <c r="A339" s="2"/>
      <c r="B339" s="2"/>
      <c r="C339" s="2"/>
      <c r="D339" s="2"/>
      <c r="E339" s="34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  <c r="AC339" s="2"/>
      <c r="AD339" s="2"/>
      <c r="AE339" s="2"/>
      <c r="AF339" s="2"/>
      <c r="AG339" s="2"/>
      <c r="AH339" s="2"/>
      <c r="AI339" s="2"/>
      <c r="AJ339" s="2"/>
      <c r="AK339" s="2"/>
    </row>
    <row r="340" spans="1:37" ht="15">
      <c r="A340" s="2"/>
      <c r="B340" s="2"/>
      <c r="C340" s="2"/>
      <c r="D340" s="2"/>
      <c r="E340" s="34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  <c r="AC340" s="2"/>
      <c r="AD340" s="2"/>
      <c r="AE340" s="2"/>
      <c r="AF340" s="2"/>
      <c r="AG340" s="2"/>
      <c r="AH340" s="2"/>
      <c r="AI340" s="2"/>
      <c r="AJ340" s="2"/>
      <c r="AK340" s="2"/>
    </row>
    <row r="341" spans="1:37" ht="15">
      <c r="A341" s="2"/>
      <c r="B341" s="2"/>
      <c r="C341" s="2"/>
      <c r="D341" s="2"/>
      <c r="E341" s="34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  <c r="AC341" s="2"/>
      <c r="AD341" s="2"/>
      <c r="AE341" s="2"/>
      <c r="AF341" s="2"/>
      <c r="AG341" s="2"/>
      <c r="AH341" s="2"/>
      <c r="AI341" s="2"/>
      <c r="AJ341" s="2"/>
      <c r="AK341" s="2"/>
    </row>
    <row r="342" spans="1:37" ht="15">
      <c r="A342" s="2"/>
      <c r="B342" s="2"/>
      <c r="C342" s="2"/>
      <c r="D342" s="2"/>
      <c r="E342" s="34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  <c r="AC342" s="2"/>
      <c r="AD342" s="2"/>
      <c r="AE342" s="2"/>
      <c r="AF342" s="2"/>
      <c r="AG342" s="2"/>
      <c r="AH342" s="2"/>
      <c r="AI342" s="2"/>
      <c r="AJ342" s="2"/>
      <c r="AK342" s="2"/>
    </row>
    <row r="343" spans="1:37" ht="15">
      <c r="A343" s="2"/>
      <c r="B343" s="2"/>
      <c r="C343" s="2"/>
      <c r="D343" s="2"/>
      <c r="E343" s="34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  <c r="AC343" s="2"/>
      <c r="AD343" s="2"/>
      <c r="AE343" s="2"/>
      <c r="AF343" s="2"/>
      <c r="AG343" s="2"/>
      <c r="AH343" s="2"/>
      <c r="AI343" s="2"/>
      <c r="AJ343" s="2"/>
      <c r="AK343" s="2"/>
    </row>
    <row r="344" spans="1:37" ht="15">
      <c r="A344" s="2"/>
      <c r="B344" s="2"/>
      <c r="C344" s="2"/>
      <c r="D344" s="2"/>
      <c r="E344" s="34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  <c r="AC344" s="2"/>
      <c r="AD344" s="2"/>
      <c r="AE344" s="2"/>
      <c r="AF344" s="2"/>
      <c r="AG344" s="2"/>
      <c r="AH344" s="2"/>
      <c r="AI344" s="2"/>
      <c r="AJ344" s="2"/>
      <c r="AK344" s="2"/>
    </row>
    <row r="345" spans="1:37" ht="15">
      <c r="A345" s="2"/>
      <c r="B345" s="2"/>
      <c r="C345" s="2"/>
      <c r="D345" s="2"/>
      <c r="E345" s="34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  <c r="AC345" s="2"/>
      <c r="AD345" s="2"/>
      <c r="AE345" s="2"/>
      <c r="AF345" s="2"/>
      <c r="AG345" s="2"/>
      <c r="AH345" s="2"/>
      <c r="AI345" s="2"/>
      <c r="AJ345" s="2"/>
      <c r="AK345" s="2"/>
    </row>
    <row r="346" spans="1:37" ht="15">
      <c r="A346" s="2"/>
      <c r="B346" s="2"/>
      <c r="C346" s="2"/>
      <c r="D346" s="2"/>
      <c r="E346" s="34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  <c r="AC346" s="2"/>
      <c r="AD346" s="2"/>
      <c r="AE346" s="2"/>
      <c r="AF346" s="2"/>
      <c r="AG346" s="2"/>
      <c r="AH346" s="2"/>
      <c r="AI346" s="2"/>
      <c r="AJ346" s="2"/>
      <c r="AK346" s="2"/>
    </row>
    <row r="347" spans="1:37" ht="15">
      <c r="A347" s="2"/>
      <c r="B347" s="2"/>
      <c r="C347" s="2"/>
      <c r="D347" s="2"/>
      <c r="E347" s="34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  <c r="AC347" s="2"/>
      <c r="AD347" s="2"/>
      <c r="AE347" s="2"/>
      <c r="AF347" s="2"/>
      <c r="AG347" s="2"/>
      <c r="AH347" s="2"/>
      <c r="AI347" s="2"/>
      <c r="AJ347" s="2"/>
      <c r="AK347" s="2"/>
    </row>
    <row r="348" spans="1:37" ht="15">
      <c r="A348" s="2"/>
      <c r="B348" s="2"/>
      <c r="C348" s="2"/>
      <c r="D348" s="2"/>
      <c r="E348" s="34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  <c r="AC348" s="2"/>
      <c r="AD348" s="2"/>
      <c r="AE348" s="2"/>
      <c r="AF348" s="2"/>
      <c r="AG348" s="2"/>
      <c r="AH348" s="2"/>
      <c r="AI348" s="2"/>
      <c r="AJ348" s="2"/>
      <c r="AK348" s="2"/>
    </row>
    <row r="349" spans="1:37" ht="15">
      <c r="A349" s="2"/>
      <c r="B349" s="2"/>
      <c r="C349" s="2"/>
      <c r="D349" s="2"/>
      <c r="E349" s="34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  <c r="AC349" s="2"/>
      <c r="AD349" s="2"/>
      <c r="AE349" s="2"/>
      <c r="AF349" s="2"/>
      <c r="AG349" s="2"/>
      <c r="AH349" s="2"/>
      <c r="AI349" s="2"/>
      <c r="AJ349" s="2"/>
      <c r="AK349" s="2"/>
    </row>
    <row r="350" spans="1:37" ht="15">
      <c r="A350" s="2"/>
      <c r="B350" s="2"/>
      <c r="C350" s="2"/>
      <c r="D350" s="2"/>
      <c r="E350" s="34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  <c r="AC350" s="2"/>
      <c r="AD350" s="2"/>
      <c r="AE350" s="2"/>
      <c r="AF350" s="2"/>
      <c r="AG350" s="2"/>
      <c r="AH350" s="2"/>
      <c r="AI350" s="2"/>
      <c r="AJ350" s="2"/>
      <c r="AK350" s="2"/>
    </row>
    <row r="351" spans="1:37" ht="15">
      <c r="A351" s="2"/>
      <c r="B351" s="2"/>
      <c r="C351" s="2"/>
      <c r="D351" s="2"/>
      <c r="E351" s="34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  <c r="AC351" s="2"/>
      <c r="AD351" s="2"/>
      <c r="AE351" s="2"/>
      <c r="AF351" s="2"/>
      <c r="AG351" s="2"/>
      <c r="AH351" s="2"/>
      <c r="AI351" s="2"/>
      <c r="AJ351" s="2"/>
      <c r="AK351" s="2"/>
    </row>
    <row r="352" spans="1:37" ht="15">
      <c r="A352" s="2"/>
      <c r="B352" s="2"/>
      <c r="C352" s="2"/>
      <c r="D352" s="2"/>
      <c r="E352" s="34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  <c r="AC352" s="2"/>
      <c r="AD352" s="2"/>
      <c r="AE352" s="2"/>
      <c r="AF352" s="2"/>
      <c r="AG352" s="2"/>
      <c r="AH352" s="2"/>
      <c r="AI352" s="2"/>
      <c r="AJ352" s="2"/>
      <c r="AK352" s="2"/>
    </row>
    <row r="353" spans="1:37" ht="15">
      <c r="A353" s="2"/>
      <c r="B353" s="2"/>
      <c r="C353" s="2"/>
      <c r="D353" s="2"/>
      <c r="E353" s="34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  <c r="AC353" s="2"/>
      <c r="AD353" s="2"/>
      <c r="AE353" s="2"/>
      <c r="AF353" s="2"/>
      <c r="AG353" s="2"/>
      <c r="AH353" s="2"/>
      <c r="AI353" s="2"/>
      <c r="AJ353" s="2"/>
      <c r="AK353" s="2"/>
    </row>
    <row r="354" spans="1:37" ht="15">
      <c r="A354" s="2"/>
      <c r="B354" s="2"/>
      <c r="C354" s="2"/>
      <c r="D354" s="2"/>
      <c r="E354" s="34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  <c r="AC354" s="2"/>
      <c r="AD354" s="2"/>
      <c r="AE354" s="2"/>
      <c r="AF354" s="2"/>
      <c r="AG354" s="2"/>
      <c r="AH354" s="2"/>
      <c r="AI354" s="2"/>
      <c r="AJ354" s="2"/>
      <c r="AK354" s="2"/>
    </row>
    <row r="355" spans="1:37" ht="15">
      <c r="A355" s="2"/>
      <c r="B355" s="2"/>
      <c r="C355" s="2"/>
      <c r="D355" s="2"/>
      <c r="E355" s="34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  <c r="AC355" s="2"/>
      <c r="AD355" s="2"/>
      <c r="AE355" s="2"/>
      <c r="AF355" s="2"/>
      <c r="AG355" s="2"/>
      <c r="AH355" s="2"/>
      <c r="AI355" s="2"/>
      <c r="AJ355" s="2"/>
      <c r="AK355" s="2"/>
    </row>
    <row r="356" spans="1:37" ht="15">
      <c r="A356" s="2"/>
      <c r="B356" s="2"/>
      <c r="C356" s="2"/>
      <c r="D356" s="2"/>
      <c r="E356" s="34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  <c r="AC356" s="2"/>
      <c r="AD356" s="2"/>
      <c r="AE356" s="2"/>
      <c r="AF356" s="2"/>
      <c r="AG356" s="2"/>
      <c r="AH356" s="2"/>
      <c r="AI356" s="2"/>
      <c r="AJ356" s="2"/>
      <c r="AK356" s="2"/>
    </row>
    <row r="357" spans="1:37" ht="15">
      <c r="A357" s="2"/>
      <c r="B357" s="2"/>
      <c r="C357" s="2"/>
      <c r="D357" s="2"/>
      <c r="E357" s="34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  <c r="AC357" s="2"/>
      <c r="AD357" s="2"/>
      <c r="AE357" s="2"/>
      <c r="AF357" s="2"/>
      <c r="AG357" s="2"/>
      <c r="AH357" s="2"/>
      <c r="AI357" s="2"/>
      <c r="AJ357" s="2"/>
      <c r="AK357" s="2"/>
    </row>
    <row r="358" spans="1:37" ht="15">
      <c r="A358" s="2"/>
      <c r="B358" s="2"/>
      <c r="C358" s="2"/>
      <c r="D358" s="2"/>
      <c r="E358" s="34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  <c r="AC358" s="2"/>
      <c r="AD358" s="2"/>
      <c r="AE358" s="2"/>
      <c r="AF358" s="2"/>
      <c r="AG358" s="2"/>
      <c r="AH358" s="2"/>
      <c r="AI358" s="2"/>
      <c r="AJ358" s="2"/>
      <c r="AK358" s="2"/>
    </row>
    <row r="359" spans="1:37" ht="15">
      <c r="A359" s="2"/>
      <c r="B359" s="2"/>
      <c r="C359" s="2"/>
      <c r="D359" s="2"/>
      <c r="E359" s="34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  <c r="AC359" s="2"/>
      <c r="AD359" s="2"/>
      <c r="AE359" s="2"/>
      <c r="AF359" s="2"/>
      <c r="AG359" s="2"/>
      <c r="AH359" s="2"/>
      <c r="AI359" s="2"/>
      <c r="AJ359" s="2"/>
      <c r="AK359" s="2"/>
    </row>
    <row r="360" spans="1:37" ht="15">
      <c r="A360" s="2"/>
      <c r="B360" s="2"/>
      <c r="C360" s="2"/>
      <c r="D360" s="2"/>
      <c r="E360" s="34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  <c r="AC360" s="2"/>
      <c r="AD360" s="2"/>
      <c r="AE360" s="2"/>
      <c r="AF360" s="2"/>
      <c r="AG360" s="2"/>
      <c r="AH360" s="2"/>
      <c r="AI360" s="2"/>
      <c r="AJ360" s="2"/>
      <c r="AK360" s="2"/>
    </row>
    <row r="361" spans="1:37" ht="15">
      <c r="A361" s="2"/>
      <c r="B361" s="2"/>
      <c r="C361" s="2"/>
      <c r="D361" s="2"/>
      <c r="E361" s="34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  <c r="AC361" s="2"/>
      <c r="AD361" s="2"/>
      <c r="AE361" s="2"/>
      <c r="AF361" s="2"/>
      <c r="AG361" s="2"/>
      <c r="AH361" s="2"/>
      <c r="AI361" s="2"/>
      <c r="AJ361" s="2"/>
      <c r="AK361" s="2"/>
    </row>
    <row r="362" spans="1:37" ht="15">
      <c r="A362" s="2"/>
      <c r="B362" s="2"/>
      <c r="C362" s="2"/>
      <c r="D362" s="2"/>
      <c r="E362" s="34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  <c r="AC362" s="2"/>
      <c r="AD362" s="2"/>
      <c r="AE362" s="2"/>
      <c r="AF362" s="2"/>
      <c r="AG362" s="2"/>
      <c r="AH362" s="2"/>
      <c r="AI362" s="2"/>
      <c r="AJ362" s="2"/>
      <c r="AK362" s="2"/>
    </row>
    <row r="363" spans="1:37" ht="15">
      <c r="A363" s="2"/>
      <c r="B363" s="2"/>
      <c r="C363" s="2"/>
      <c r="D363" s="2"/>
      <c r="E363" s="34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  <c r="AC363" s="2"/>
      <c r="AD363" s="2"/>
      <c r="AE363" s="2"/>
      <c r="AF363" s="2"/>
      <c r="AG363" s="2"/>
      <c r="AH363" s="2"/>
      <c r="AI363" s="2"/>
      <c r="AJ363" s="2"/>
      <c r="AK363" s="2"/>
    </row>
    <row r="364" spans="1:37" ht="15">
      <c r="A364" s="2"/>
      <c r="B364" s="2"/>
      <c r="C364" s="2"/>
      <c r="D364" s="2"/>
      <c r="E364" s="34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  <c r="AC364" s="2"/>
      <c r="AD364" s="2"/>
      <c r="AE364" s="2"/>
      <c r="AF364" s="2"/>
      <c r="AG364" s="2"/>
      <c r="AH364" s="2"/>
      <c r="AI364" s="2"/>
      <c r="AJ364" s="2"/>
      <c r="AK364" s="2"/>
    </row>
    <row r="365" spans="1:37" ht="15">
      <c r="A365" s="2"/>
      <c r="B365" s="2"/>
      <c r="C365" s="2"/>
      <c r="D365" s="2"/>
      <c r="E365" s="34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  <c r="AC365" s="2"/>
      <c r="AD365" s="2"/>
      <c r="AE365" s="2"/>
      <c r="AF365" s="2"/>
      <c r="AG365" s="2"/>
      <c r="AH365" s="2"/>
      <c r="AI365" s="2"/>
      <c r="AJ365" s="2"/>
      <c r="AK365" s="2"/>
    </row>
    <row r="366" spans="1:37" ht="15">
      <c r="A366" s="2"/>
      <c r="B366" s="2"/>
      <c r="C366" s="2"/>
      <c r="D366" s="2"/>
      <c r="E366" s="34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  <c r="AC366" s="2"/>
      <c r="AD366" s="2"/>
      <c r="AE366" s="2"/>
      <c r="AF366" s="2"/>
      <c r="AG366" s="2"/>
      <c r="AH366" s="2"/>
      <c r="AI366" s="2"/>
      <c r="AJ366" s="2"/>
      <c r="AK366" s="2"/>
    </row>
    <row r="367" spans="1:37" ht="15">
      <c r="A367" s="2"/>
      <c r="B367" s="2"/>
      <c r="C367" s="2"/>
      <c r="D367" s="2"/>
      <c r="E367" s="34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  <c r="AC367" s="2"/>
      <c r="AD367" s="2"/>
      <c r="AE367" s="2"/>
      <c r="AF367" s="2"/>
      <c r="AG367" s="2"/>
      <c r="AH367" s="2"/>
      <c r="AI367" s="2"/>
      <c r="AJ367" s="2"/>
      <c r="AK367" s="2"/>
    </row>
    <row r="368" spans="1:37" ht="15">
      <c r="A368" s="2"/>
      <c r="B368" s="2"/>
      <c r="C368" s="2"/>
      <c r="D368" s="2"/>
      <c r="E368" s="34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  <c r="AC368" s="2"/>
      <c r="AD368" s="2"/>
      <c r="AE368" s="2"/>
      <c r="AF368" s="2"/>
      <c r="AG368" s="2"/>
      <c r="AH368" s="2"/>
      <c r="AI368" s="2"/>
      <c r="AJ368" s="2"/>
      <c r="AK368" s="2"/>
    </row>
    <row r="369" spans="1:37" ht="15">
      <c r="A369" s="2"/>
      <c r="B369" s="2"/>
      <c r="C369" s="2"/>
      <c r="D369" s="2"/>
      <c r="E369" s="34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  <c r="AC369" s="2"/>
      <c r="AD369" s="2"/>
      <c r="AE369" s="2"/>
      <c r="AF369" s="2"/>
      <c r="AG369" s="2"/>
      <c r="AH369" s="2"/>
      <c r="AI369" s="2"/>
      <c r="AJ369" s="2"/>
      <c r="AK369" s="2"/>
    </row>
    <row r="370" spans="1:37" ht="15">
      <c r="A370" s="2"/>
      <c r="B370" s="2"/>
      <c r="C370" s="2"/>
      <c r="D370" s="2"/>
      <c r="E370" s="34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  <c r="AC370" s="2"/>
      <c r="AD370" s="2"/>
      <c r="AE370" s="2"/>
      <c r="AF370" s="2"/>
      <c r="AG370" s="2"/>
      <c r="AH370" s="2"/>
      <c r="AI370" s="2"/>
      <c r="AJ370" s="2"/>
      <c r="AK370" s="2"/>
    </row>
    <row r="371" spans="1:37" ht="12.75">
      <c r="AE371" s="2"/>
      <c r="AF371" s="2"/>
      <c r="AG371" s="2"/>
      <c r="AH371" s="2"/>
      <c r="AI371" s="2"/>
      <c r="AJ371" s="2"/>
      <c r="AK371" s="2"/>
    </row>
    <row r="372" spans="1:37" ht="12.75">
      <c r="AE372" s="2"/>
      <c r="AF372" s="2"/>
      <c r="AG372" s="2"/>
      <c r="AH372" s="2"/>
      <c r="AI372" s="2"/>
      <c r="AJ372" s="2"/>
      <c r="AK372" s="2"/>
    </row>
    <row r="373" spans="1:37" ht="12.75">
      <c r="AE373" s="2"/>
      <c r="AF373" s="2"/>
      <c r="AG373" s="2"/>
      <c r="AH373" s="2"/>
      <c r="AI373" s="2"/>
      <c r="AJ373" s="2"/>
      <c r="AK373" s="2"/>
    </row>
    <row r="374" spans="1:37" ht="12.75">
      <c r="AE374" s="2"/>
      <c r="AF374" s="2"/>
      <c r="AG374" s="2"/>
      <c r="AH374" s="2"/>
      <c r="AI374" s="2"/>
      <c r="AJ374" s="2"/>
      <c r="AK374" s="2"/>
    </row>
    <row r="375" spans="1:37" ht="12.75">
      <c r="AE375" s="2"/>
      <c r="AF375" s="2"/>
      <c r="AG375" s="2"/>
      <c r="AH375" s="2"/>
      <c r="AI375" s="2"/>
      <c r="AJ375" s="2"/>
      <c r="AK375" s="2"/>
    </row>
    <row r="376" spans="1:37" ht="12.75">
      <c r="AE376" s="2"/>
      <c r="AF376" s="2"/>
      <c r="AG376" s="2"/>
      <c r="AH376" s="2"/>
      <c r="AI376" s="2"/>
      <c r="AJ376" s="2"/>
      <c r="AK376" s="2"/>
    </row>
    <row r="377" spans="1:37" ht="12.75">
      <c r="AE377" s="2"/>
      <c r="AF377" s="2"/>
      <c r="AG377" s="2"/>
      <c r="AH377" s="2"/>
      <c r="AI377" s="2"/>
      <c r="AJ377" s="2"/>
      <c r="AK377" s="2"/>
    </row>
    <row r="378" spans="1:37" ht="12.75">
      <c r="AE378" s="2"/>
      <c r="AF378" s="2"/>
      <c r="AG378" s="2"/>
      <c r="AH378" s="2"/>
      <c r="AI378" s="2"/>
      <c r="AJ378" s="2"/>
      <c r="AK378" s="2"/>
    </row>
    <row r="379" spans="1:37" ht="12.75">
      <c r="AE379" s="2"/>
      <c r="AF379" s="2"/>
      <c r="AG379" s="2"/>
      <c r="AH379" s="2"/>
      <c r="AI379" s="2"/>
      <c r="AJ379" s="2"/>
      <c r="AK379" s="2"/>
    </row>
    <row r="380" spans="1:37" ht="12.75">
      <c r="AE380" s="2"/>
      <c r="AF380" s="2"/>
      <c r="AG380" s="2"/>
      <c r="AH380" s="2"/>
      <c r="AI380" s="2"/>
      <c r="AJ380" s="2"/>
      <c r="AK380" s="2"/>
    </row>
    <row r="381" spans="1:37" ht="15">
      <c r="A381" s="2"/>
      <c r="B381" s="2"/>
      <c r="C381" s="2"/>
      <c r="D381" s="2"/>
      <c r="E381" s="34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  <c r="AC381" s="2"/>
      <c r="AD381" s="2"/>
      <c r="AE381" s="2"/>
      <c r="AF381" s="2"/>
      <c r="AG381" s="2"/>
      <c r="AH381" s="2"/>
      <c r="AI381" s="2"/>
      <c r="AJ381" s="2"/>
      <c r="AK381" s="2"/>
    </row>
    <row r="382" spans="1:37" ht="15">
      <c r="A382" s="2"/>
      <c r="B382" s="2"/>
      <c r="C382" s="2"/>
      <c r="D382" s="2"/>
      <c r="E382" s="34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  <c r="AC382" s="2"/>
      <c r="AD382" s="2"/>
      <c r="AE382" s="2"/>
      <c r="AF382" s="2"/>
      <c r="AG382" s="2"/>
      <c r="AH382" s="2"/>
      <c r="AI382" s="2"/>
      <c r="AJ382" s="2"/>
      <c r="AK382" s="2"/>
    </row>
    <row r="383" spans="1:37" ht="15">
      <c r="A383" s="2"/>
      <c r="B383" s="2"/>
      <c r="C383" s="2"/>
      <c r="D383" s="2"/>
      <c r="E383" s="34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  <c r="AC383" s="2"/>
      <c r="AD383" s="2"/>
      <c r="AE383" s="2"/>
      <c r="AF383" s="2"/>
      <c r="AG383" s="2"/>
      <c r="AH383" s="2"/>
      <c r="AI383" s="2"/>
      <c r="AJ383" s="2"/>
      <c r="AK383" s="2"/>
    </row>
    <row r="384" spans="1:37" ht="15">
      <c r="A384" s="2"/>
      <c r="B384" s="2"/>
      <c r="C384" s="2"/>
      <c r="D384" s="2"/>
      <c r="E384" s="34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  <c r="AC384" s="2"/>
      <c r="AD384" s="2"/>
      <c r="AE384" s="2"/>
      <c r="AF384" s="2"/>
      <c r="AG384" s="2"/>
      <c r="AH384" s="2"/>
      <c r="AI384" s="2"/>
      <c r="AJ384" s="2"/>
      <c r="AK384" s="2"/>
    </row>
    <row r="385" spans="1:37" ht="15">
      <c r="A385" s="2"/>
      <c r="B385" s="2"/>
      <c r="C385" s="2"/>
      <c r="D385" s="2"/>
      <c r="E385" s="34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  <c r="AC385" s="2"/>
      <c r="AD385" s="2"/>
      <c r="AE385" s="2"/>
      <c r="AF385" s="2"/>
      <c r="AG385" s="2"/>
      <c r="AH385" s="2"/>
      <c r="AI385" s="2"/>
      <c r="AJ385" s="2"/>
      <c r="AK385" s="2"/>
    </row>
    <row r="386" spans="1:37" ht="15">
      <c r="A386" s="2"/>
      <c r="B386" s="2"/>
      <c r="C386" s="2"/>
      <c r="D386" s="2"/>
      <c r="E386" s="34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  <c r="AC386" s="2"/>
      <c r="AD386" s="2"/>
      <c r="AE386" s="2"/>
      <c r="AF386" s="2"/>
      <c r="AG386" s="2"/>
      <c r="AH386" s="2"/>
      <c r="AI386" s="2"/>
      <c r="AJ386" s="2"/>
      <c r="AK386" s="2"/>
    </row>
    <row r="387" spans="1:37" ht="15">
      <c r="A387" s="2"/>
      <c r="B387" s="2"/>
      <c r="C387" s="2"/>
      <c r="D387" s="2"/>
      <c r="E387" s="34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  <c r="AC387" s="2"/>
      <c r="AD387" s="2"/>
      <c r="AE387" s="2"/>
      <c r="AF387" s="2"/>
      <c r="AG387" s="2"/>
      <c r="AH387" s="2"/>
      <c r="AI387" s="2"/>
      <c r="AJ387" s="2"/>
      <c r="AK387" s="2"/>
    </row>
    <row r="388" spans="1:37" ht="15">
      <c r="A388" s="2"/>
      <c r="B388" s="2"/>
      <c r="C388" s="2"/>
      <c r="D388" s="2"/>
      <c r="E388" s="34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  <c r="AC388" s="2"/>
      <c r="AD388" s="2"/>
      <c r="AE388" s="2"/>
      <c r="AF388" s="2"/>
      <c r="AG388" s="2"/>
      <c r="AH388" s="2"/>
      <c r="AI388" s="2"/>
      <c r="AJ388" s="2"/>
      <c r="AK388" s="2"/>
    </row>
    <row r="389" spans="1:37" ht="15">
      <c r="A389" s="2"/>
      <c r="B389" s="2"/>
      <c r="C389" s="2"/>
      <c r="D389" s="2"/>
      <c r="E389" s="34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  <c r="AC389" s="2"/>
      <c r="AD389" s="2"/>
      <c r="AE389" s="2"/>
      <c r="AF389" s="2"/>
      <c r="AG389" s="2"/>
      <c r="AH389" s="2"/>
      <c r="AI389" s="2"/>
      <c r="AJ389" s="2"/>
      <c r="AK389" s="2"/>
    </row>
    <row r="390" spans="1:37" ht="15">
      <c r="A390" s="2"/>
      <c r="B390" s="2"/>
      <c r="C390" s="2"/>
      <c r="D390" s="2"/>
      <c r="E390" s="34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  <c r="AC390" s="2"/>
      <c r="AD390" s="2"/>
      <c r="AE390" s="2"/>
      <c r="AF390" s="2"/>
      <c r="AG390" s="2"/>
      <c r="AH390" s="2"/>
      <c r="AI390" s="2"/>
      <c r="AJ390" s="2"/>
      <c r="AK390" s="2"/>
    </row>
    <row r="391" spans="1:37" ht="15">
      <c r="A391" s="2"/>
      <c r="B391" s="2"/>
      <c r="C391" s="2"/>
      <c r="D391" s="2"/>
      <c r="E391" s="34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  <c r="AC391" s="2"/>
      <c r="AD391" s="2"/>
      <c r="AE391" s="2"/>
      <c r="AF391" s="2"/>
      <c r="AG391" s="2"/>
      <c r="AH391" s="2"/>
      <c r="AI391" s="2"/>
      <c r="AJ391" s="2"/>
      <c r="AK391" s="2"/>
    </row>
    <row r="392" spans="1:37" ht="15">
      <c r="A392" s="2"/>
      <c r="B392" s="2"/>
      <c r="C392" s="2"/>
      <c r="D392" s="2"/>
      <c r="E392" s="34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  <c r="AC392" s="2"/>
      <c r="AD392" s="2"/>
      <c r="AE392" s="2"/>
      <c r="AF392" s="2"/>
      <c r="AG392" s="2"/>
      <c r="AH392" s="2"/>
      <c r="AI392" s="2"/>
      <c r="AJ392" s="2"/>
      <c r="AK392" s="2"/>
    </row>
    <row r="393" spans="1:37" ht="15">
      <c r="A393" s="2"/>
      <c r="B393" s="2"/>
      <c r="C393" s="2"/>
      <c r="D393" s="2"/>
      <c r="E393" s="34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  <c r="AC393" s="2"/>
      <c r="AD393" s="2"/>
      <c r="AE393" s="2"/>
      <c r="AF393" s="2"/>
      <c r="AG393" s="2"/>
      <c r="AH393" s="2"/>
      <c r="AI393" s="2"/>
      <c r="AJ393" s="2"/>
      <c r="AK393" s="2"/>
    </row>
    <row r="394" spans="1:37" ht="15">
      <c r="A394" s="2"/>
      <c r="B394" s="2"/>
      <c r="C394" s="2"/>
      <c r="D394" s="2"/>
      <c r="E394" s="34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  <c r="AC394" s="2"/>
      <c r="AD394" s="2"/>
      <c r="AE394" s="2"/>
      <c r="AF394" s="2"/>
      <c r="AG394" s="2"/>
      <c r="AH394" s="2"/>
      <c r="AI394" s="2"/>
      <c r="AJ394" s="2"/>
      <c r="AK394" s="2"/>
    </row>
    <row r="395" spans="1:37" ht="15">
      <c r="A395" s="2"/>
      <c r="B395" s="2"/>
      <c r="C395" s="2"/>
      <c r="D395" s="2"/>
      <c r="E395" s="34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  <c r="AC395" s="2"/>
      <c r="AD395" s="2"/>
      <c r="AE395" s="2"/>
      <c r="AF395" s="2"/>
      <c r="AG395" s="2"/>
      <c r="AH395" s="2"/>
      <c r="AI395" s="2"/>
      <c r="AJ395" s="2"/>
      <c r="AK395" s="2"/>
    </row>
    <row r="396" spans="1:37" ht="15">
      <c r="A396" s="2"/>
      <c r="B396" s="2"/>
      <c r="C396" s="2"/>
      <c r="D396" s="2"/>
      <c r="E396" s="34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  <c r="AC396" s="2"/>
      <c r="AD396" s="2"/>
      <c r="AE396" s="2"/>
      <c r="AF396" s="2"/>
      <c r="AG396" s="2"/>
      <c r="AH396" s="2"/>
      <c r="AI396" s="2"/>
      <c r="AJ396" s="2"/>
      <c r="AK396" s="2"/>
    </row>
    <row r="397" spans="1:37" ht="15">
      <c r="A397" s="2"/>
      <c r="B397" s="2"/>
      <c r="C397" s="2"/>
      <c r="D397" s="2"/>
      <c r="E397" s="34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  <c r="AC397" s="2"/>
      <c r="AD397" s="2"/>
      <c r="AE397" s="2"/>
      <c r="AF397" s="2"/>
      <c r="AG397" s="2"/>
      <c r="AH397" s="2"/>
      <c r="AI397" s="2"/>
      <c r="AJ397" s="2"/>
      <c r="AK397" s="2"/>
    </row>
    <row r="398" spans="1:37" ht="15">
      <c r="A398" s="2"/>
      <c r="B398" s="2"/>
      <c r="C398" s="2"/>
      <c r="D398" s="2"/>
      <c r="E398" s="34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  <c r="AC398" s="2"/>
      <c r="AD398" s="2"/>
      <c r="AE398" s="2"/>
      <c r="AF398" s="2"/>
      <c r="AG398" s="2"/>
      <c r="AH398" s="2"/>
      <c r="AI398" s="2"/>
      <c r="AJ398" s="2"/>
      <c r="AK398" s="2"/>
    </row>
    <row r="399" spans="1:37" ht="15">
      <c r="A399" s="2"/>
      <c r="B399" s="2"/>
      <c r="C399" s="2"/>
      <c r="D399" s="2"/>
      <c r="E399" s="34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  <c r="AC399" s="2"/>
      <c r="AD399" s="2"/>
      <c r="AE399" s="2"/>
      <c r="AF399" s="2"/>
      <c r="AG399" s="2"/>
      <c r="AH399" s="2"/>
      <c r="AI399" s="2"/>
      <c r="AJ399" s="2"/>
      <c r="AK399" s="2"/>
    </row>
    <row r="400" spans="1:37" ht="15">
      <c r="A400" s="2"/>
      <c r="B400" s="2"/>
      <c r="C400" s="2"/>
      <c r="D400" s="2"/>
      <c r="E400" s="34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  <c r="AC400" s="2"/>
      <c r="AD400" s="2"/>
      <c r="AE400" s="2"/>
      <c r="AF400" s="2"/>
      <c r="AG400" s="2"/>
      <c r="AH400" s="2"/>
      <c r="AI400" s="2"/>
      <c r="AJ400" s="2"/>
      <c r="AK400" s="2"/>
    </row>
    <row r="401" spans="1:37" ht="15">
      <c r="A401" s="2"/>
      <c r="B401" s="2"/>
      <c r="C401" s="2"/>
      <c r="D401" s="2"/>
      <c r="E401" s="34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  <c r="AC401" s="2"/>
      <c r="AD401" s="2"/>
      <c r="AE401" s="2"/>
      <c r="AF401" s="2"/>
      <c r="AG401" s="2"/>
      <c r="AH401" s="2"/>
      <c r="AI401" s="2"/>
      <c r="AJ401" s="2"/>
      <c r="AK401" s="2"/>
    </row>
    <row r="402" spans="1:37" ht="15">
      <c r="A402" s="2"/>
      <c r="B402" s="2"/>
      <c r="C402" s="2"/>
      <c r="D402" s="2"/>
      <c r="E402" s="34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  <c r="AC402" s="2"/>
      <c r="AD402" s="2"/>
      <c r="AE402" s="2"/>
      <c r="AF402" s="2"/>
      <c r="AG402" s="2"/>
      <c r="AH402" s="2"/>
      <c r="AI402" s="2"/>
      <c r="AJ402" s="2"/>
      <c r="AK402" s="2"/>
    </row>
    <row r="403" spans="1:37" ht="15">
      <c r="A403" s="2"/>
      <c r="B403" s="2"/>
      <c r="C403" s="2"/>
      <c r="D403" s="2"/>
      <c r="E403" s="34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  <c r="AC403" s="2"/>
      <c r="AD403" s="2"/>
      <c r="AE403" s="2"/>
      <c r="AF403" s="2"/>
      <c r="AG403" s="2"/>
      <c r="AH403" s="2"/>
      <c r="AI403" s="2"/>
      <c r="AJ403" s="2"/>
      <c r="AK403" s="2"/>
    </row>
    <row r="404" spans="1:37" ht="15">
      <c r="A404" s="2"/>
      <c r="B404" s="2"/>
      <c r="C404" s="2"/>
      <c r="D404" s="2"/>
      <c r="E404" s="34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  <c r="AC404" s="2"/>
      <c r="AD404" s="2"/>
      <c r="AE404" s="2"/>
      <c r="AF404" s="2"/>
      <c r="AG404" s="2"/>
      <c r="AH404" s="2"/>
      <c r="AI404" s="2"/>
      <c r="AJ404" s="2"/>
      <c r="AK404" s="2"/>
    </row>
    <row r="405" spans="1:37" ht="15">
      <c r="A405" s="2"/>
      <c r="B405" s="2"/>
      <c r="C405" s="2"/>
      <c r="D405" s="2"/>
      <c r="E405" s="34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  <c r="AC405" s="2"/>
      <c r="AD405" s="2"/>
      <c r="AE405" s="2"/>
      <c r="AF405" s="2"/>
      <c r="AG405" s="2"/>
      <c r="AH405" s="2"/>
      <c r="AI405" s="2"/>
      <c r="AJ405" s="2"/>
      <c r="AK405" s="2"/>
    </row>
    <row r="406" spans="1:37" ht="15">
      <c r="A406" s="2"/>
      <c r="B406" s="2"/>
      <c r="C406" s="2"/>
      <c r="D406" s="2"/>
      <c r="E406" s="34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  <c r="AC406" s="2"/>
      <c r="AD406" s="2"/>
      <c r="AE406" s="2"/>
      <c r="AF406" s="2"/>
      <c r="AG406" s="2"/>
      <c r="AH406" s="2"/>
      <c r="AI406" s="2"/>
      <c r="AJ406" s="2"/>
      <c r="AK406" s="2"/>
    </row>
    <row r="407" spans="1:37" ht="15">
      <c r="A407" s="2"/>
      <c r="B407" s="2"/>
      <c r="C407" s="2"/>
      <c r="D407" s="2"/>
      <c r="E407" s="34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  <c r="AC407" s="2"/>
      <c r="AD407" s="2"/>
      <c r="AE407" s="2"/>
      <c r="AF407" s="2"/>
      <c r="AG407" s="2"/>
      <c r="AH407" s="2"/>
      <c r="AI407" s="2"/>
      <c r="AJ407" s="2"/>
      <c r="AK407" s="2"/>
    </row>
    <row r="408" spans="1:37" ht="15">
      <c r="A408" s="2"/>
      <c r="B408" s="2"/>
      <c r="C408" s="2"/>
      <c r="D408" s="2"/>
      <c r="E408" s="34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  <c r="AC408" s="2"/>
      <c r="AD408" s="2"/>
      <c r="AE408" s="2"/>
      <c r="AF408" s="2"/>
      <c r="AG408" s="2"/>
      <c r="AH408" s="2"/>
      <c r="AI408" s="2"/>
      <c r="AJ408" s="2"/>
      <c r="AK408" s="2"/>
    </row>
    <row r="409" spans="1:37" ht="15">
      <c r="A409" s="2"/>
      <c r="B409" s="2"/>
      <c r="C409" s="2"/>
      <c r="D409" s="2"/>
      <c r="E409" s="34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  <c r="AC409" s="2"/>
      <c r="AD409" s="2"/>
      <c r="AE409" s="2"/>
      <c r="AF409" s="2"/>
      <c r="AG409" s="2"/>
      <c r="AH409" s="2"/>
      <c r="AI409" s="2"/>
      <c r="AJ409" s="2"/>
      <c r="AK409" s="2"/>
    </row>
    <row r="410" spans="1:37" ht="15">
      <c r="A410" s="2"/>
      <c r="B410" s="2"/>
      <c r="C410" s="2"/>
      <c r="D410" s="2"/>
      <c r="E410" s="34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  <c r="AC410" s="2"/>
      <c r="AD410" s="2"/>
      <c r="AE410" s="2"/>
      <c r="AF410" s="2"/>
      <c r="AG410" s="2"/>
      <c r="AH410" s="2"/>
      <c r="AI410" s="2"/>
      <c r="AJ410" s="2"/>
      <c r="AK410" s="2"/>
    </row>
    <row r="411" spans="1:37" ht="15">
      <c r="A411" s="2"/>
      <c r="B411" s="2"/>
      <c r="C411" s="2"/>
      <c r="D411" s="2"/>
      <c r="E411" s="34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  <c r="AC411" s="2"/>
      <c r="AD411" s="2"/>
      <c r="AE411" s="2"/>
      <c r="AF411" s="2"/>
      <c r="AG411" s="2"/>
      <c r="AH411" s="2"/>
      <c r="AI411" s="2"/>
      <c r="AJ411" s="2"/>
      <c r="AK411" s="2"/>
    </row>
    <row r="412" spans="1:37" ht="15">
      <c r="A412" s="2"/>
      <c r="B412" s="2"/>
      <c r="C412" s="2"/>
      <c r="D412" s="2"/>
      <c r="E412" s="34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  <c r="AC412" s="2"/>
      <c r="AD412" s="2"/>
      <c r="AE412" s="2"/>
      <c r="AF412" s="2"/>
      <c r="AG412" s="2"/>
      <c r="AH412" s="2"/>
      <c r="AI412" s="2"/>
      <c r="AJ412" s="2"/>
      <c r="AK412" s="2"/>
    </row>
    <row r="413" spans="1:37" ht="15">
      <c r="A413" s="2"/>
      <c r="B413" s="2"/>
      <c r="C413" s="2"/>
      <c r="D413" s="2"/>
      <c r="E413" s="34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  <c r="AC413" s="2"/>
      <c r="AD413" s="2"/>
      <c r="AE413" s="2"/>
      <c r="AF413" s="2"/>
      <c r="AG413" s="2"/>
      <c r="AH413" s="2"/>
      <c r="AI413" s="2"/>
      <c r="AJ413" s="2"/>
      <c r="AK413" s="2"/>
    </row>
    <row r="414" spans="1:37" ht="15">
      <c r="A414" s="2"/>
      <c r="B414" s="2"/>
      <c r="C414" s="2"/>
      <c r="D414" s="2"/>
      <c r="E414" s="34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  <c r="AC414" s="2"/>
      <c r="AD414" s="2"/>
      <c r="AE414" s="2"/>
      <c r="AF414" s="2"/>
      <c r="AG414" s="2"/>
      <c r="AH414" s="2"/>
      <c r="AI414" s="2"/>
      <c r="AJ414" s="2"/>
      <c r="AK414" s="2"/>
    </row>
    <row r="415" spans="1:37" ht="15">
      <c r="A415" s="2"/>
      <c r="B415" s="2"/>
      <c r="C415" s="2"/>
      <c r="D415" s="2"/>
      <c r="E415" s="34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  <c r="AC415" s="2"/>
      <c r="AD415" s="2"/>
      <c r="AE415" s="2"/>
      <c r="AF415" s="2"/>
      <c r="AG415" s="2"/>
      <c r="AH415" s="2"/>
      <c r="AI415" s="2"/>
      <c r="AJ415" s="2"/>
      <c r="AK415" s="2"/>
    </row>
    <row r="416" spans="1:37" ht="15">
      <c r="A416" s="2"/>
      <c r="B416" s="2"/>
      <c r="C416" s="2"/>
      <c r="D416" s="2"/>
      <c r="E416" s="34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  <c r="AC416" s="2"/>
      <c r="AD416" s="2"/>
      <c r="AE416" s="2"/>
      <c r="AF416" s="2"/>
      <c r="AG416" s="2"/>
      <c r="AH416" s="2"/>
      <c r="AI416" s="2"/>
      <c r="AJ416" s="2"/>
      <c r="AK416" s="2"/>
    </row>
    <row r="417" spans="1:37" ht="15">
      <c r="A417" s="2"/>
      <c r="B417" s="2"/>
      <c r="C417" s="2"/>
      <c r="D417" s="2"/>
      <c r="E417" s="34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  <c r="AC417" s="2"/>
      <c r="AD417" s="2"/>
      <c r="AE417" s="2"/>
      <c r="AF417" s="2"/>
      <c r="AG417" s="2"/>
      <c r="AH417" s="2"/>
      <c r="AI417" s="2"/>
      <c r="AJ417" s="2"/>
      <c r="AK417" s="2"/>
    </row>
    <row r="418" spans="1:37" ht="15">
      <c r="A418" s="2"/>
      <c r="B418" s="2"/>
      <c r="C418" s="2"/>
      <c r="D418" s="2"/>
      <c r="E418" s="34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  <c r="AC418" s="2"/>
      <c r="AD418" s="2"/>
      <c r="AE418" s="2"/>
      <c r="AF418" s="2"/>
      <c r="AG418" s="2"/>
      <c r="AH418" s="2"/>
      <c r="AI418" s="2"/>
      <c r="AJ418" s="2"/>
      <c r="AK418" s="2"/>
    </row>
    <row r="419" spans="1:37" ht="15">
      <c r="A419" s="2"/>
      <c r="B419" s="2"/>
      <c r="C419" s="2"/>
      <c r="D419" s="2"/>
      <c r="E419" s="34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  <c r="AC419" s="2"/>
      <c r="AD419" s="2"/>
      <c r="AE419" s="2"/>
      <c r="AF419" s="2"/>
      <c r="AG419" s="2"/>
      <c r="AH419" s="2"/>
      <c r="AI419" s="2"/>
      <c r="AJ419" s="2"/>
      <c r="AK419" s="2"/>
    </row>
    <row r="420" spans="1:37" ht="15">
      <c r="A420" s="2"/>
      <c r="B420" s="2"/>
      <c r="C420" s="2"/>
      <c r="D420" s="2"/>
      <c r="E420" s="34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  <c r="AC420" s="2"/>
      <c r="AD420" s="2"/>
      <c r="AE420" s="2"/>
      <c r="AF420" s="2"/>
      <c r="AG420" s="2"/>
      <c r="AH420" s="2"/>
      <c r="AI420" s="2"/>
      <c r="AJ420" s="2"/>
      <c r="AK420" s="2"/>
    </row>
    <row r="421" spans="1:37" ht="15">
      <c r="A421" s="2"/>
      <c r="B421" s="2"/>
      <c r="C421" s="2"/>
      <c r="D421" s="2"/>
      <c r="E421" s="34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  <c r="AC421" s="2"/>
      <c r="AD421" s="2"/>
      <c r="AE421" s="2"/>
      <c r="AF421" s="2"/>
      <c r="AG421" s="2"/>
      <c r="AH421" s="2"/>
      <c r="AI421" s="2"/>
      <c r="AJ421" s="2"/>
      <c r="AK421" s="2"/>
    </row>
    <row r="422" spans="1:37" ht="15">
      <c r="A422" s="2"/>
      <c r="B422" s="2"/>
      <c r="C422" s="2"/>
      <c r="D422" s="2"/>
      <c r="E422" s="34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  <c r="AC422" s="2"/>
      <c r="AD422" s="2"/>
      <c r="AE422" s="2"/>
      <c r="AF422" s="2"/>
      <c r="AG422" s="2"/>
      <c r="AH422" s="2"/>
      <c r="AI422" s="2"/>
      <c r="AJ422" s="2"/>
      <c r="AK422" s="2"/>
    </row>
    <row r="423" spans="1:37" ht="15">
      <c r="A423" s="2"/>
      <c r="B423" s="2"/>
      <c r="C423" s="2"/>
      <c r="D423" s="2"/>
      <c r="E423" s="34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  <c r="AC423" s="2"/>
      <c r="AD423" s="2"/>
      <c r="AE423" s="2"/>
      <c r="AF423" s="2"/>
      <c r="AG423" s="2"/>
      <c r="AH423" s="2"/>
      <c r="AI423" s="2"/>
      <c r="AJ423" s="2"/>
      <c r="AK423" s="2"/>
    </row>
    <row r="424" spans="1:37" ht="15">
      <c r="A424" s="2"/>
      <c r="B424" s="2"/>
      <c r="C424" s="2"/>
      <c r="D424" s="2"/>
      <c r="E424" s="34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  <c r="AC424" s="2"/>
      <c r="AD424" s="2"/>
      <c r="AE424" s="2"/>
      <c r="AF424" s="2"/>
      <c r="AG424" s="2"/>
      <c r="AH424" s="2"/>
      <c r="AI424" s="2"/>
      <c r="AJ424" s="2"/>
      <c r="AK424" s="2"/>
    </row>
    <row r="425" spans="1:37" ht="15">
      <c r="A425" s="2"/>
      <c r="B425" s="2"/>
      <c r="C425" s="2"/>
      <c r="D425" s="2"/>
      <c r="E425" s="34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  <c r="AC425" s="2"/>
      <c r="AD425" s="2"/>
      <c r="AE425" s="2"/>
      <c r="AF425" s="2"/>
      <c r="AG425" s="2"/>
      <c r="AH425" s="2"/>
      <c r="AI425" s="2"/>
      <c r="AJ425" s="2"/>
      <c r="AK425" s="2"/>
    </row>
    <row r="426" spans="1:37" ht="15">
      <c r="A426" s="2"/>
      <c r="B426" s="2"/>
      <c r="C426" s="2"/>
      <c r="D426" s="2"/>
      <c r="E426" s="34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  <c r="AC426" s="2"/>
      <c r="AD426" s="2"/>
      <c r="AE426" s="2"/>
      <c r="AF426" s="2"/>
      <c r="AG426" s="2"/>
      <c r="AH426" s="2"/>
      <c r="AI426" s="2"/>
      <c r="AJ426" s="2"/>
      <c r="AK426" s="2"/>
    </row>
    <row r="427" spans="1:37" ht="15">
      <c r="A427" s="2"/>
      <c r="B427" s="2"/>
      <c r="C427" s="2"/>
      <c r="D427" s="2"/>
      <c r="E427" s="34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  <c r="AC427" s="2"/>
      <c r="AD427" s="2"/>
      <c r="AE427" s="2"/>
      <c r="AF427" s="2"/>
      <c r="AG427" s="2"/>
      <c r="AH427" s="2"/>
      <c r="AI427" s="2"/>
      <c r="AJ427" s="2"/>
      <c r="AK427" s="2"/>
    </row>
    <row r="428" spans="1:37" ht="15">
      <c r="A428" s="2"/>
      <c r="B428" s="2"/>
      <c r="C428" s="2"/>
      <c r="D428" s="2"/>
      <c r="E428" s="34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  <c r="AC428" s="2"/>
      <c r="AD428" s="2"/>
      <c r="AE428" s="2"/>
      <c r="AF428" s="2"/>
      <c r="AG428" s="2"/>
      <c r="AH428" s="2"/>
      <c r="AI428" s="2"/>
      <c r="AJ428" s="2"/>
      <c r="AK428" s="2"/>
    </row>
    <row r="429" spans="1:37" ht="15">
      <c r="A429" s="2"/>
      <c r="B429" s="2"/>
      <c r="C429" s="2"/>
      <c r="D429" s="2"/>
      <c r="E429" s="34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  <c r="AC429" s="2"/>
      <c r="AD429" s="2"/>
      <c r="AE429" s="2"/>
      <c r="AF429" s="2"/>
      <c r="AG429" s="2"/>
      <c r="AH429" s="2"/>
      <c r="AI429" s="2"/>
      <c r="AJ429" s="2"/>
      <c r="AK429" s="2"/>
    </row>
    <row r="430" spans="1:37" ht="15">
      <c r="A430" s="2"/>
      <c r="B430" s="2"/>
      <c r="C430" s="2"/>
      <c r="D430" s="2"/>
      <c r="E430" s="34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  <c r="AC430" s="2"/>
      <c r="AD430" s="2"/>
      <c r="AE430" s="2"/>
      <c r="AF430" s="2"/>
      <c r="AG430" s="2"/>
      <c r="AH430" s="2"/>
      <c r="AI430" s="2"/>
      <c r="AJ430" s="2"/>
      <c r="AK430" s="2"/>
    </row>
    <row r="431" spans="1:37" ht="15">
      <c r="A431" s="2"/>
      <c r="B431" s="2"/>
      <c r="C431" s="2"/>
      <c r="D431" s="2"/>
      <c r="E431" s="34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  <c r="AC431" s="2"/>
      <c r="AD431" s="2"/>
      <c r="AE431" s="2"/>
      <c r="AF431" s="2"/>
      <c r="AG431" s="2"/>
      <c r="AH431" s="2"/>
      <c r="AI431" s="2"/>
      <c r="AJ431" s="2"/>
      <c r="AK431" s="2"/>
    </row>
    <row r="432" spans="1:37" ht="15">
      <c r="A432" s="2"/>
      <c r="B432" s="2"/>
      <c r="C432" s="2"/>
      <c r="D432" s="2"/>
      <c r="E432" s="34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  <c r="AC432" s="2"/>
      <c r="AD432" s="2"/>
      <c r="AE432" s="2"/>
      <c r="AF432" s="2"/>
      <c r="AG432" s="2"/>
      <c r="AH432" s="2"/>
      <c r="AI432" s="2"/>
      <c r="AJ432" s="2"/>
      <c r="AK432" s="2"/>
    </row>
    <row r="433" spans="1:37" ht="15">
      <c r="A433" s="2"/>
      <c r="B433" s="2"/>
      <c r="C433" s="2"/>
      <c r="D433" s="2"/>
      <c r="E433" s="34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  <c r="AC433" s="2"/>
      <c r="AD433" s="2"/>
      <c r="AE433" s="2"/>
      <c r="AF433" s="2"/>
      <c r="AG433" s="2"/>
      <c r="AH433" s="2"/>
      <c r="AI433" s="2"/>
      <c r="AJ433" s="2"/>
      <c r="AK433" s="2"/>
    </row>
    <row r="434" spans="1:37" ht="15">
      <c r="A434" s="2"/>
      <c r="B434" s="2"/>
      <c r="C434" s="2"/>
      <c r="D434" s="2"/>
      <c r="E434" s="34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  <c r="AC434" s="2"/>
      <c r="AD434" s="2"/>
      <c r="AE434" s="2"/>
      <c r="AF434" s="2"/>
      <c r="AG434" s="2"/>
      <c r="AH434" s="2"/>
      <c r="AI434" s="2"/>
      <c r="AJ434" s="2"/>
      <c r="AK434" s="2"/>
    </row>
    <row r="435" spans="1:37" ht="15">
      <c r="A435" s="2"/>
      <c r="B435" s="2"/>
      <c r="C435" s="2"/>
      <c r="D435" s="2"/>
      <c r="E435" s="34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  <c r="AC435" s="2"/>
      <c r="AD435" s="2"/>
      <c r="AE435" s="2"/>
      <c r="AF435" s="2"/>
      <c r="AG435" s="2"/>
      <c r="AH435" s="2"/>
      <c r="AI435" s="2"/>
      <c r="AJ435" s="2"/>
      <c r="AK435" s="2"/>
    </row>
    <row r="436" spans="1:37" ht="15">
      <c r="A436" s="2"/>
      <c r="B436" s="2"/>
      <c r="C436" s="2"/>
      <c r="D436" s="2"/>
      <c r="E436" s="34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  <c r="AC436" s="2"/>
      <c r="AD436" s="2"/>
      <c r="AE436" s="2"/>
      <c r="AF436" s="2"/>
      <c r="AG436" s="2"/>
      <c r="AH436" s="2"/>
      <c r="AI436" s="2"/>
      <c r="AJ436" s="2"/>
      <c r="AK436" s="2"/>
    </row>
    <row r="437" spans="1:37" ht="15">
      <c r="A437" s="2"/>
      <c r="B437" s="2"/>
      <c r="C437" s="2"/>
      <c r="D437" s="2"/>
      <c r="E437" s="34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  <c r="AC437" s="2"/>
      <c r="AD437" s="2"/>
      <c r="AE437" s="2"/>
      <c r="AF437" s="2"/>
      <c r="AG437" s="2"/>
      <c r="AH437" s="2"/>
      <c r="AI437" s="2"/>
      <c r="AJ437" s="2"/>
      <c r="AK437" s="2"/>
    </row>
    <row r="438" spans="1:37" ht="15">
      <c r="A438" s="2"/>
      <c r="B438" s="2"/>
      <c r="C438" s="2"/>
      <c r="D438" s="2"/>
      <c r="E438" s="34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  <c r="AC438" s="2"/>
      <c r="AD438" s="2"/>
      <c r="AE438" s="2"/>
      <c r="AF438" s="2"/>
      <c r="AG438" s="2"/>
      <c r="AH438" s="2"/>
      <c r="AI438" s="2"/>
      <c r="AJ438" s="2"/>
      <c r="AK438" s="2"/>
    </row>
    <row r="439" spans="1:37" ht="15">
      <c r="A439" s="2"/>
      <c r="B439" s="2"/>
      <c r="C439" s="2"/>
      <c r="D439" s="2"/>
      <c r="E439" s="34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  <c r="AC439" s="2"/>
      <c r="AD439" s="2"/>
      <c r="AE439" s="2"/>
      <c r="AF439" s="2"/>
      <c r="AG439" s="2"/>
      <c r="AH439" s="2"/>
      <c r="AI439" s="2"/>
      <c r="AJ439" s="2"/>
      <c r="AK439" s="2"/>
    </row>
    <row r="440" spans="1:37" ht="15">
      <c r="A440" s="2"/>
      <c r="B440" s="2"/>
      <c r="C440" s="2"/>
      <c r="D440" s="2"/>
      <c r="E440" s="34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  <c r="AC440" s="2"/>
      <c r="AD440" s="2"/>
      <c r="AE440" s="2"/>
      <c r="AF440" s="2"/>
      <c r="AG440" s="2"/>
      <c r="AH440" s="2"/>
      <c r="AI440" s="2"/>
      <c r="AJ440" s="2"/>
      <c r="AK440" s="2"/>
    </row>
    <row r="441" spans="1:37" ht="15">
      <c r="A441" s="2"/>
      <c r="B441" s="2"/>
      <c r="C441" s="2"/>
      <c r="D441" s="2"/>
      <c r="E441" s="34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  <c r="AC441" s="2"/>
      <c r="AD441" s="2"/>
      <c r="AE441" s="2"/>
      <c r="AF441" s="2"/>
      <c r="AG441" s="2"/>
      <c r="AH441" s="2"/>
      <c r="AI441" s="2"/>
      <c r="AJ441" s="2"/>
      <c r="AK441" s="2"/>
    </row>
    <row r="442" spans="1:37" ht="15">
      <c r="A442" s="2"/>
      <c r="B442" s="2"/>
      <c r="C442" s="2"/>
      <c r="D442" s="2"/>
      <c r="E442" s="34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  <c r="AC442" s="2"/>
      <c r="AD442" s="2"/>
      <c r="AE442" s="2"/>
      <c r="AF442" s="2"/>
      <c r="AG442" s="2"/>
      <c r="AH442" s="2"/>
      <c r="AI442" s="2"/>
      <c r="AJ442" s="2"/>
      <c r="AK442" s="2"/>
    </row>
    <row r="443" spans="1:37" ht="15">
      <c r="A443" s="2"/>
      <c r="B443" s="2"/>
      <c r="C443" s="2"/>
      <c r="D443" s="2"/>
      <c r="E443" s="34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  <c r="AC443" s="2"/>
      <c r="AD443" s="2"/>
      <c r="AE443" s="2"/>
      <c r="AF443" s="2"/>
      <c r="AG443" s="2"/>
      <c r="AH443" s="2"/>
      <c r="AI443" s="2"/>
      <c r="AJ443" s="2"/>
      <c r="AK443" s="2"/>
    </row>
    <row r="444" spans="1:37" ht="15">
      <c r="A444" s="2"/>
      <c r="B444" s="2"/>
      <c r="C444" s="2"/>
      <c r="D444" s="2"/>
      <c r="E444" s="34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  <c r="AC444" s="2"/>
      <c r="AD444" s="2"/>
      <c r="AE444" s="2"/>
      <c r="AF444" s="2"/>
      <c r="AG444" s="2"/>
      <c r="AH444" s="2"/>
      <c r="AI444" s="2"/>
      <c r="AJ444" s="2"/>
      <c r="AK444" s="2"/>
    </row>
    <row r="445" spans="1:37" ht="15">
      <c r="A445" s="2"/>
      <c r="B445" s="2"/>
      <c r="C445" s="2"/>
      <c r="D445" s="2"/>
      <c r="E445" s="34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  <c r="AC445" s="2"/>
      <c r="AD445" s="2"/>
      <c r="AE445" s="2"/>
      <c r="AF445" s="2"/>
      <c r="AG445" s="2"/>
      <c r="AH445" s="2"/>
      <c r="AI445" s="2"/>
      <c r="AJ445" s="2"/>
      <c r="AK445" s="2"/>
    </row>
    <row r="446" spans="1:37" ht="15">
      <c r="A446" s="2"/>
      <c r="B446" s="2"/>
      <c r="C446" s="2"/>
      <c r="D446" s="2"/>
      <c r="E446" s="34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  <c r="AC446" s="2"/>
      <c r="AD446" s="2"/>
      <c r="AE446" s="2"/>
      <c r="AF446" s="2"/>
      <c r="AG446" s="2"/>
      <c r="AH446" s="2"/>
      <c r="AI446" s="2"/>
      <c r="AJ446" s="2"/>
      <c r="AK446" s="2"/>
    </row>
    <row r="447" spans="1:37" ht="15">
      <c r="A447" s="2"/>
      <c r="B447" s="2"/>
      <c r="C447" s="2"/>
      <c r="D447" s="2"/>
      <c r="E447" s="34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  <c r="AC447" s="2"/>
      <c r="AD447" s="2"/>
      <c r="AE447" s="2"/>
      <c r="AF447" s="2"/>
      <c r="AG447" s="2"/>
      <c r="AH447" s="2"/>
      <c r="AI447" s="2"/>
      <c r="AJ447" s="2"/>
      <c r="AK447" s="2"/>
    </row>
    <row r="448" spans="1:37" ht="15">
      <c r="A448" s="2"/>
      <c r="B448" s="2"/>
      <c r="C448" s="2"/>
      <c r="D448" s="2"/>
      <c r="E448" s="34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  <c r="AC448" s="2"/>
      <c r="AD448" s="2"/>
      <c r="AE448" s="2"/>
      <c r="AF448" s="2"/>
      <c r="AG448" s="2"/>
      <c r="AH448" s="2"/>
      <c r="AI448" s="2"/>
      <c r="AJ448" s="2"/>
      <c r="AK448" s="2"/>
    </row>
    <row r="449" spans="1:37" ht="15">
      <c r="A449" s="2"/>
      <c r="B449" s="2"/>
      <c r="C449" s="2"/>
      <c r="D449" s="2"/>
      <c r="E449" s="34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  <c r="AC449" s="2"/>
      <c r="AD449" s="2"/>
      <c r="AE449" s="2"/>
      <c r="AF449" s="2"/>
      <c r="AG449" s="2"/>
      <c r="AH449" s="2"/>
      <c r="AI449" s="2"/>
      <c r="AJ449" s="2"/>
      <c r="AK449" s="2"/>
    </row>
    <row r="450" spans="1:37" ht="15">
      <c r="A450" s="2"/>
      <c r="B450" s="2"/>
      <c r="C450" s="2"/>
      <c r="D450" s="2"/>
      <c r="E450" s="34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  <c r="AC450" s="2"/>
      <c r="AD450" s="2"/>
      <c r="AE450" s="2"/>
      <c r="AF450" s="2"/>
      <c r="AG450" s="2"/>
      <c r="AH450" s="2"/>
      <c r="AI450" s="2"/>
      <c r="AJ450" s="2"/>
      <c r="AK450" s="2"/>
    </row>
    <row r="451" spans="1:37" ht="15">
      <c r="A451" s="2"/>
      <c r="B451" s="2"/>
      <c r="C451" s="2"/>
      <c r="D451" s="2"/>
      <c r="E451" s="34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  <c r="AC451" s="2"/>
      <c r="AD451" s="2"/>
      <c r="AE451" s="2"/>
      <c r="AF451" s="2"/>
      <c r="AG451" s="2"/>
      <c r="AH451" s="2"/>
      <c r="AI451" s="2"/>
      <c r="AJ451" s="2"/>
      <c r="AK451" s="2"/>
    </row>
    <row r="452" spans="1:37" ht="15">
      <c r="A452" s="2"/>
      <c r="B452" s="2"/>
      <c r="C452" s="2"/>
      <c r="D452" s="2"/>
      <c r="E452" s="34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  <c r="AC452" s="2"/>
      <c r="AD452" s="2"/>
      <c r="AE452" s="2"/>
      <c r="AF452" s="2"/>
      <c r="AG452" s="2"/>
      <c r="AH452" s="2"/>
      <c r="AI452" s="2"/>
      <c r="AJ452" s="2"/>
      <c r="AK452" s="2"/>
    </row>
    <row r="453" spans="1:37" ht="15">
      <c r="A453" s="2"/>
      <c r="B453" s="2"/>
      <c r="C453" s="2"/>
      <c r="D453" s="2"/>
      <c r="E453" s="34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  <c r="AC453" s="2"/>
      <c r="AD453" s="2"/>
      <c r="AE453" s="2"/>
      <c r="AF453" s="2"/>
      <c r="AG453" s="2"/>
      <c r="AH453" s="2"/>
      <c r="AI453" s="2"/>
      <c r="AJ453" s="2"/>
      <c r="AK453" s="2"/>
    </row>
    <row r="454" spans="1:37" ht="15">
      <c r="A454" s="2"/>
      <c r="B454" s="2"/>
      <c r="C454" s="2"/>
      <c r="D454" s="2"/>
      <c r="E454" s="34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  <c r="AC454" s="2"/>
      <c r="AD454" s="2"/>
      <c r="AE454" s="2"/>
      <c r="AF454" s="2"/>
      <c r="AG454" s="2"/>
      <c r="AH454" s="2"/>
      <c r="AI454" s="2"/>
      <c r="AJ454" s="2"/>
      <c r="AK454" s="2"/>
    </row>
    <row r="455" spans="1:37" ht="15">
      <c r="A455" s="2"/>
      <c r="B455" s="2"/>
      <c r="C455" s="2"/>
      <c r="D455" s="2"/>
      <c r="E455" s="34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  <c r="AC455" s="2"/>
      <c r="AD455" s="2"/>
      <c r="AE455" s="2"/>
      <c r="AF455" s="2"/>
      <c r="AG455" s="2"/>
      <c r="AH455" s="2"/>
      <c r="AI455" s="2"/>
      <c r="AJ455" s="2"/>
      <c r="AK455" s="2"/>
    </row>
    <row r="456" spans="1:37" ht="15">
      <c r="A456" s="2"/>
      <c r="B456" s="2"/>
      <c r="C456" s="2"/>
      <c r="D456" s="2"/>
      <c r="E456" s="34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  <c r="AC456" s="2"/>
      <c r="AD456" s="2"/>
      <c r="AE456" s="2"/>
      <c r="AF456" s="2"/>
      <c r="AG456" s="2"/>
      <c r="AH456" s="2"/>
      <c r="AI456" s="2"/>
      <c r="AJ456" s="2"/>
      <c r="AK456" s="2"/>
    </row>
    <row r="457" spans="1:37" ht="15">
      <c r="A457" s="2"/>
      <c r="B457" s="2"/>
      <c r="C457" s="2"/>
      <c r="D457" s="2"/>
      <c r="E457" s="34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  <c r="AC457" s="2"/>
      <c r="AD457" s="2"/>
      <c r="AE457" s="2"/>
      <c r="AF457" s="2"/>
      <c r="AG457" s="2"/>
      <c r="AH457" s="2"/>
      <c r="AI457" s="2"/>
      <c r="AJ457" s="2"/>
      <c r="AK457" s="2"/>
    </row>
    <row r="458" spans="1:37" ht="15">
      <c r="A458" s="2"/>
      <c r="B458" s="2"/>
      <c r="C458" s="2"/>
      <c r="D458" s="2"/>
      <c r="E458" s="34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  <c r="AC458" s="2"/>
      <c r="AD458" s="2"/>
      <c r="AE458" s="2"/>
      <c r="AF458" s="2"/>
      <c r="AG458" s="2"/>
      <c r="AH458" s="2"/>
      <c r="AI458" s="2"/>
      <c r="AJ458" s="2"/>
      <c r="AK458" s="2"/>
    </row>
    <row r="459" spans="1:37" ht="15">
      <c r="A459" s="2"/>
      <c r="B459" s="2"/>
      <c r="C459" s="2"/>
      <c r="D459" s="2"/>
      <c r="E459" s="34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  <c r="AC459" s="2"/>
      <c r="AD459" s="2"/>
      <c r="AE459" s="2"/>
      <c r="AF459" s="2"/>
      <c r="AG459" s="2"/>
      <c r="AH459" s="2"/>
      <c r="AI459" s="2"/>
      <c r="AJ459" s="2"/>
      <c r="AK459" s="2"/>
    </row>
    <row r="460" spans="1:37" ht="15">
      <c r="A460" s="2"/>
      <c r="B460" s="2"/>
      <c r="C460" s="2"/>
      <c r="D460" s="2"/>
      <c r="E460" s="34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  <c r="AC460" s="2"/>
      <c r="AD460" s="2"/>
      <c r="AE460" s="2"/>
      <c r="AF460" s="2"/>
      <c r="AG460" s="2"/>
      <c r="AH460" s="2"/>
      <c r="AI460" s="2"/>
      <c r="AJ460" s="2"/>
      <c r="AK460" s="2"/>
    </row>
    <row r="461" spans="1:37" ht="15">
      <c r="A461" s="2"/>
      <c r="B461" s="2"/>
      <c r="C461" s="2"/>
      <c r="D461" s="2"/>
      <c r="E461" s="34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  <c r="AC461" s="2"/>
      <c r="AD461" s="2"/>
      <c r="AE461" s="2"/>
      <c r="AF461" s="2"/>
      <c r="AG461" s="2"/>
      <c r="AH461" s="2"/>
      <c r="AI461" s="2"/>
      <c r="AJ461" s="2"/>
      <c r="AK461" s="2"/>
    </row>
    <row r="462" spans="1:37" ht="15">
      <c r="A462" s="2"/>
      <c r="B462" s="2"/>
      <c r="C462" s="2"/>
      <c r="D462" s="2"/>
      <c r="E462" s="34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  <c r="AC462" s="2"/>
      <c r="AD462" s="2"/>
      <c r="AE462" s="2"/>
      <c r="AF462" s="2"/>
      <c r="AG462" s="2"/>
      <c r="AH462" s="2"/>
      <c r="AI462" s="2"/>
      <c r="AJ462" s="2"/>
      <c r="AK462" s="2"/>
    </row>
    <row r="463" spans="1:37" ht="15">
      <c r="A463" s="2"/>
      <c r="B463" s="2"/>
      <c r="C463" s="2"/>
      <c r="D463" s="2"/>
      <c r="E463" s="34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  <c r="AC463" s="2"/>
      <c r="AD463" s="2"/>
      <c r="AE463" s="2"/>
      <c r="AF463" s="2"/>
      <c r="AG463" s="2"/>
      <c r="AH463" s="2"/>
      <c r="AI463" s="2"/>
      <c r="AJ463" s="2"/>
      <c r="AK463" s="2"/>
    </row>
    <row r="464" spans="1:37" ht="15">
      <c r="A464" s="2"/>
      <c r="B464" s="2"/>
      <c r="C464" s="2"/>
      <c r="D464" s="2"/>
      <c r="E464" s="34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  <c r="AC464" s="2"/>
      <c r="AD464" s="2"/>
      <c r="AE464" s="2"/>
      <c r="AF464" s="2"/>
      <c r="AG464" s="2"/>
      <c r="AH464" s="2"/>
      <c r="AI464" s="2"/>
      <c r="AJ464" s="2"/>
      <c r="AK464" s="2"/>
    </row>
    <row r="465" spans="1:37" ht="15">
      <c r="A465" s="2"/>
      <c r="B465" s="2"/>
      <c r="C465" s="2"/>
      <c r="D465" s="2"/>
      <c r="E465" s="34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  <c r="AC465" s="2"/>
      <c r="AD465" s="2"/>
      <c r="AE465" s="2"/>
      <c r="AF465" s="2"/>
      <c r="AG465" s="2"/>
      <c r="AH465" s="2"/>
      <c r="AI465" s="2"/>
      <c r="AJ465" s="2"/>
      <c r="AK465" s="2"/>
    </row>
    <row r="466" spans="1:37" ht="15">
      <c r="A466" s="2"/>
      <c r="B466" s="2"/>
      <c r="C466" s="2"/>
      <c r="D466" s="2"/>
      <c r="E466" s="34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  <c r="AC466" s="2"/>
      <c r="AD466" s="2"/>
      <c r="AE466" s="2"/>
      <c r="AF466" s="2"/>
      <c r="AG466" s="2"/>
      <c r="AH466" s="2"/>
      <c r="AI466" s="2"/>
      <c r="AJ466" s="2"/>
      <c r="AK466" s="2"/>
    </row>
    <row r="467" spans="1:37" ht="15">
      <c r="A467" s="2"/>
      <c r="B467" s="2"/>
      <c r="C467" s="2"/>
      <c r="D467" s="2"/>
      <c r="E467" s="34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  <c r="AC467" s="2"/>
      <c r="AD467" s="2"/>
      <c r="AE467" s="2"/>
      <c r="AF467" s="2"/>
      <c r="AG467" s="2"/>
      <c r="AH467" s="2"/>
      <c r="AI467" s="2"/>
      <c r="AJ467" s="2"/>
      <c r="AK467" s="2"/>
    </row>
    <row r="468" spans="1:37" ht="15">
      <c r="A468" s="2"/>
      <c r="B468" s="2"/>
      <c r="C468" s="2"/>
      <c r="D468" s="2"/>
      <c r="E468" s="34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  <c r="AC468" s="2"/>
      <c r="AD468" s="2"/>
      <c r="AE468" s="2"/>
      <c r="AF468" s="2"/>
      <c r="AG468" s="2"/>
      <c r="AH468" s="2"/>
      <c r="AI468" s="2"/>
      <c r="AJ468" s="2"/>
      <c r="AK468" s="2"/>
    </row>
    <row r="469" spans="1:37" ht="15">
      <c r="A469" s="2"/>
      <c r="B469" s="2"/>
      <c r="C469" s="2"/>
      <c r="D469" s="2"/>
      <c r="E469" s="34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  <c r="AC469" s="2"/>
      <c r="AD469" s="2"/>
      <c r="AE469" s="2"/>
      <c r="AF469" s="2"/>
      <c r="AG469" s="2"/>
      <c r="AH469" s="2"/>
      <c r="AI469" s="2"/>
      <c r="AJ469" s="2"/>
      <c r="AK469" s="2"/>
    </row>
    <row r="470" spans="1:37" ht="12.75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  <c r="AC470" s="2"/>
      <c r="AD470" s="2"/>
      <c r="AE470" s="2"/>
      <c r="AF470" s="2"/>
      <c r="AG470" s="2"/>
      <c r="AH470" s="2"/>
      <c r="AI470" s="2"/>
      <c r="AJ470" s="2"/>
      <c r="AK470" s="2"/>
    </row>
    <row r="471" spans="1:37" ht="12.75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  <c r="AC471" s="2"/>
      <c r="AD471" s="2"/>
      <c r="AE471" s="2"/>
      <c r="AF471" s="2"/>
      <c r="AG471" s="2"/>
      <c r="AH471" s="2"/>
      <c r="AI471" s="2"/>
      <c r="AJ471" s="2"/>
      <c r="AK471" s="2"/>
    </row>
    <row r="472" spans="1:37" ht="12.75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  <c r="AC472" s="2"/>
      <c r="AD472" s="2"/>
      <c r="AE472" s="2"/>
      <c r="AF472" s="2"/>
      <c r="AG472" s="2"/>
      <c r="AH472" s="2"/>
      <c r="AI472" s="2"/>
      <c r="AJ472" s="2"/>
      <c r="AK472" s="2"/>
    </row>
    <row r="473" spans="1:37" ht="12.75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  <c r="AC473" s="2"/>
      <c r="AD473" s="2"/>
      <c r="AE473" s="2"/>
      <c r="AF473" s="2"/>
      <c r="AG473" s="2"/>
      <c r="AH473" s="2"/>
      <c r="AI473" s="2"/>
      <c r="AJ473" s="2"/>
      <c r="AK473" s="2"/>
    </row>
    <row r="474" spans="1:37" ht="12.75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  <c r="AC474" s="2"/>
      <c r="AD474" s="2"/>
      <c r="AE474" s="2"/>
      <c r="AF474" s="2"/>
      <c r="AG474" s="2"/>
      <c r="AH474" s="2"/>
      <c r="AI474" s="2"/>
      <c r="AJ474" s="2"/>
      <c r="AK474" s="2"/>
    </row>
    <row r="475" spans="1:37" ht="12.7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  <c r="AC475" s="2"/>
      <c r="AD475" s="2"/>
      <c r="AE475" s="2"/>
      <c r="AF475" s="2"/>
      <c r="AG475" s="2"/>
      <c r="AH475" s="2"/>
      <c r="AI475" s="2"/>
      <c r="AJ475" s="2"/>
      <c r="AK475" s="2"/>
    </row>
    <row r="476" spans="1:37" ht="12.75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  <c r="AC476" s="2"/>
      <c r="AD476" s="2"/>
      <c r="AE476" s="2"/>
      <c r="AF476" s="2"/>
      <c r="AG476" s="2"/>
      <c r="AH476" s="2"/>
      <c r="AI476" s="2"/>
      <c r="AJ476" s="2"/>
      <c r="AK476" s="2"/>
    </row>
    <row r="477" spans="1:37" ht="12.75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  <c r="AC477" s="2"/>
      <c r="AD477" s="2"/>
      <c r="AE477" s="2"/>
      <c r="AF477" s="2"/>
      <c r="AG477" s="2"/>
      <c r="AH477" s="2"/>
      <c r="AI477" s="2"/>
      <c r="AJ477" s="2"/>
      <c r="AK477" s="2"/>
    </row>
    <row r="478" spans="1:37" ht="12.75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  <c r="AC478" s="2"/>
      <c r="AD478" s="2"/>
      <c r="AE478" s="2"/>
      <c r="AF478" s="2"/>
      <c r="AG478" s="2"/>
      <c r="AH478" s="2"/>
      <c r="AI478" s="2"/>
      <c r="AJ478" s="2"/>
      <c r="AK478" s="2"/>
    </row>
    <row r="479" spans="1:37" ht="12.75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  <c r="AC479" s="2"/>
      <c r="AD479" s="2"/>
      <c r="AE479" s="2"/>
      <c r="AF479" s="2"/>
      <c r="AG479" s="2"/>
      <c r="AH479" s="2"/>
      <c r="AI479" s="2"/>
      <c r="AJ479" s="2"/>
      <c r="AK479" s="2"/>
    </row>
    <row r="480" spans="1:37" ht="12.75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  <c r="AC480" s="2"/>
      <c r="AD480" s="2"/>
      <c r="AE480" s="2"/>
      <c r="AF480" s="2"/>
      <c r="AG480" s="2"/>
      <c r="AH480" s="2"/>
      <c r="AI480" s="2"/>
      <c r="AJ480" s="2"/>
      <c r="AK480" s="2"/>
    </row>
    <row r="481" spans="1:37" ht="12.75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  <c r="AC481" s="2"/>
      <c r="AD481" s="2"/>
      <c r="AE481" s="2"/>
      <c r="AF481" s="2"/>
      <c r="AG481" s="2"/>
      <c r="AH481" s="2"/>
      <c r="AI481" s="2"/>
      <c r="AJ481" s="2"/>
      <c r="AK481" s="2"/>
    </row>
    <row r="482" spans="1:37" ht="12.75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  <c r="AC482" s="2"/>
      <c r="AD482" s="2"/>
      <c r="AE482" s="2"/>
      <c r="AF482" s="2"/>
      <c r="AG482" s="2"/>
      <c r="AH482" s="2"/>
      <c r="AI482" s="2"/>
      <c r="AJ482" s="2"/>
      <c r="AK482" s="2"/>
    </row>
    <row r="483" spans="1:37" ht="12.75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  <c r="AC483" s="2"/>
      <c r="AD483" s="2"/>
      <c r="AE483" s="2"/>
      <c r="AF483" s="2"/>
      <c r="AG483" s="2"/>
      <c r="AH483" s="2"/>
      <c r="AI483" s="2"/>
      <c r="AJ483" s="2"/>
      <c r="AK483" s="2"/>
    </row>
    <row r="484" spans="1:37" ht="12.75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  <c r="AC484" s="2"/>
      <c r="AD484" s="2"/>
      <c r="AE484" s="2"/>
      <c r="AF484" s="2"/>
      <c r="AG484" s="2"/>
      <c r="AH484" s="2"/>
      <c r="AI484" s="2"/>
      <c r="AJ484" s="2"/>
      <c r="AK484" s="2"/>
    </row>
    <row r="485" spans="1:37" ht="12.7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  <c r="AC485" s="2"/>
      <c r="AD485" s="2"/>
      <c r="AE485" s="2"/>
      <c r="AF485" s="2"/>
      <c r="AG485" s="2"/>
      <c r="AH485" s="2"/>
      <c r="AI485" s="2"/>
      <c r="AJ485" s="2"/>
      <c r="AK485" s="2"/>
    </row>
    <row r="486" spans="1:37" ht="12.75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  <c r="AC486" s="2"/>
      <c r="AD486" s="2"/>
      <c r="AE486" s="2"/>
      <c r="AF486" s="2"/>
      <c r="AG486" s="2"/>
      <c r="AH486" s="2"/>
      <c r="AI486" s="2"/>
      <c r="AJ486" s="2"/>
      <c r="AK486" s="2"/>
    </row>
    <row r="487" spans="1:37" ht="12.75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  <c r="AC487" s="2"/>
      <c r="AD487" s="2"/>
      <c r="AE487" s="2"/>
      <c r="AF487" s="2"/>
      <c r="AG487" s="2"/>
      <c r="AH487" s="2"/>
      <c r="AI487" s="2"/>
      <c r="AJ487" s="2"/>
      <c r="AK487" s="2"/>
    </row>
    <row r="488" spans="1:37" ht="12.75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  <c r="AC488" s="2"/>
      <c r="AD488" s="2"/>
      <c r="AE488" s="2"/>
      <c r="AF488" s="2"/>
      <c r="AG488" s="2"/>
      <c r="AH488" s="2"/>
      <c r="AI488" s="2"/>
      <c r="AJ488" s="2"/>
      <c r="AK488" s="2"/>
    </row>
    <row r="489" spans="1:37" ht="12.75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  <c r="AC489" s="2"/>
      <c r="AD489" s="2"/>
      <c r="AE489" s="2"/>
      <c r="AF489" s="2"/>
      <c r="AG489" s="2"/>
      <c r="AH489" s="2"/>
      <c r="AI489" s="2"/>
      <c r="AJ489" s="2"/>
      <c r="AK489" s="2"/>
    </row>
    <row r="490" spans="1:37" ht="12.75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  <c r="AC490" s="2"/>
      <c r="AD490" s="2"/>
      <c r="AE490" s="2"/>
      <c r="AF490" s="2"/>
      <c r="AG490" s="2"/>
      <c r="AH490" s="2"/>
      <c r="AI490" s="2"/>
      <c r="AJ490" s="2"/>
      <c r="AK490" s="2"/>
    </row>
    <row r="491" spans="1:37" ht="12.75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  <c r="AC491" s="2"/>
      <c r="AD491" s="2"/>
      <c r="AE491" s="2"/>
      <c r="AF491" s="2"/>
      <c r="AG491" s="2"/>
      <c r="AH491" s="2"/>
      <c r="AI491" s="2"/>
      <c r="AJ491" s="2"/>
      <c r="AK491" s="2"/>
    </row>
    <row r="492" spans="1:37" ht="12.75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  <c r="AC492" s="2"/>
      <c r="AD492" s="2"/>
      <c r="AE492" s="2"/>
      <c r="AF492" s="2"/>
      <c r="AG492" s="2"/>
      <c r="AH492" s="2"/>
      <c r="AI492" s="2"/>
      <c r="AJ492" s="2"/>
      <c r="AK492" s="2"/>
    </row>
    <row r="493" spans="1:37" ht="12.75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  <c r="AC493" s="2"/>
      <c r="AD493" s="2"/>
      <c r="AE493" s="2"/>
      <c r="AF493" s="2"/>
      <c r="AG493" s="2"/>
      <c r="AH493" s="2"/>
      <c r="AI493" s="2"/>
      <c r="AJ493" s="2"/>
      <c r="AK493" s="2"/>
    </row>
    <row r="494" spans="1:37" ht="12.75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  <c r="AC494" s="2"/>
      <c r="AD494" s="2"/>
      <c r="AE494" s="2"/>
      <c r="AF494" s="2"/>
      <c r="AG494" s="2"/>
      <c r="AH494" s="2"/>
      <c r="AI494" s="2"/>
      <c r="AJ494" s="2"/>
      <c r="AK494" s="2"/>
    </row>
    <row r="495" spans="1:37" ht="12.7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  <c r="AC495" s="2"/>
      <c r="AD495" s="2"/>
      <c r="AE495" s="2"/>
      <c r="AF495" s="2"/>
      <c r="AG495" s="2"/>
      <c r="AH495" s="2"/>
      <c r="AI495" s="2"/>
      <c r="AJ495" s="2"/>
      <c r="AK495" s="2"/>
    </row>
    <row r="496" spans="1:37" ht="12.75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  <c r="AC496" s="2"/>
      <c r="AD496" s="2"/>
      <c r="AE496" s="2"/>
      <c r="AF496" s="2"/>
      <c r="AG496" s="2"/>
      <c r="AH496" s="2"/>
      <c r="AI496" s="2"/>
      <c r="AJ496" s="2"/>
      <c r="AK496" s="2"/>
    </row>
    <row r="497" spans="1:37" ht="12.75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  <c r="AC497" s="2"/>
      <c r="AD497" s="2"/>
      <c r="AE497" s="2"/>
      <c r="AF497" s="2"/>
      <c r="AG497" s="2"/>
      <c r="AH497" s="2"/>
      <c r="AI497" s="2"/>
      <c r="AJ497" s="2"/>
      <c r="AK497" s="2"/>
    </row>
    <row r="498" spans="1:37" ht="12.75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  <c r="AC498" s="2"/>
      <c r="AD498" s="2"/>
      <c r="AE498" s="2"/>
      <c r="AF498" s="2"/>
      <c r="AG498" s="2"/>
      <c r="AH498" s="2"/>
      <c r="AI498" s="2"/>
      <c r="AJ498" s="2"/>
      <c r="AK498" s="2"/>
    </row>
    <row r="499" spans="1:37" ht="12.75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  <c r="AC499" s="2"/>
      <c r="AD499" s="2"/>
      <c r="AE499" s="2"/>
      <c r="AF499" s="2"/>
      <c r="AG499" s="2"/>
      <c r="AH499" s="2"/>
      <c r="AI499" s="2"/>
      <c r="AJ499" s="2"/>
      <c r="AK499" s="2"/>
    </row>
    <row r="500" spans="1:37" ht="12.75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  <c r="AC500" s="2"/>
      <c r="AD500" s="2"/>
      <c r="AE500" s="2"/>
      <c r="AF500" s="2"/>
      <c r="AG500" s="2"/>
      <c r="AH500" s="2"/>
      <c r="AI500" s="2"/>
      <c r="AJ500" s="2"/>
      <c r="AK500" s="2"/>
    </row>
    <row r="501" spans="1:37" ht="12.75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  <c r="AC501" s="2"/>
      <c r="AD501" s="2"/>
      <c r="AE501" s="2"/>
      <c r="AF501" s="2"/>
      <c r="AG501" s="2"/>
      <c r="AH501" s="2"/>
      <c r="AI501" s="2"/>
      <c r="AJ501" s="2"/>
      <c r="AK501" s="2"/>
    </row>
    <row r="502" spans="1:37" ht="12.75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  <c r="AC502" s="2"/>
      <c r="AD502" s="2"/>
      <c r="AE502" s="2"/>
      <c r="AF502" s="2"/>
      <c r="AG502" s="2"/>
      <c r="AH502" s="2"/>
      <c r="AI502" s="2"/>
      <c r="AJ502" s="2"/>
      <c r="AK502" s="2"/>
    </row>
    <row r="503" spans="1:37" ht="12.75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  <c r="AC503" s="2"/>
      <c r="AD503" s="2"/>
      <c r="AE503" s="2"/>
      <c r="AF503" s="2"/>
      <c r="AG503" s="2"/>
      <c r="AH503" s="2"/>
      <c r="AI503" s="2"/>
      <c r="AJ503" s="2"/>
      <c r="AK503" s="2"/>
    </row>
    <row r="504" spans="1:37" ht="12.75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  <c r="AC504" s="2"/>
      <c r="AD504" s="2"/>
      <c r="AE504" s="2"/>
      <c r="AF504" s="2"/>
      <c r="AG504" s="2"/>
      <c r="AH504" s="2"/>
      <c r="AI504" s="2"/>
      <c r="AJ504" s="2"/>
      <c r="AK504" s="2"/>
    </row>
    <row r="505" spans="1:37" ht="12.7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  <c r="AC505" s="2"/>
      <c r="AD505" s="2"/>
      <c r="AE505" s="2"/>
      <c r="AF505" s="2"/>
      <c r="AG505" s="2"/>
      <c r="AH505" s="2"/>
      <c r="AI505" s="2"/>
      <c r="AJ505" s="2"/>
      <c r="AK505" s="2"/>
    </row>
    <row r="506" spans="1:37" ht="12.75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  <c r="AC506" s="2"/>
      <c r="AD506" s="2"/>
      <c r="AE506" s="2"/>
      <c r="AF506" s="2"/>
      <c r="AG506" s="2"/>
      <c r="AH506" s="2"/>
      <c r="AI506" s="2"/>
      <c r="AJ506" s="2"/>
      <c r="AK506" s="2"/>
    </row>
    <row r="507" spans="1:37" ht="12.75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  <c r="AC507" s="2"/>
      <c r="AD507" s="2"/>
      <c r="AE507" s="2"/>
      <c r="AF507" s="2"/>
      <c r="AG507" s="2"/>
      <c r="AH507" s="2"/>
      <c r="AI507" s="2"/>
      <c r="AJ507" s="2"/>
      <c r="AK507" s="2"/>
    </row>
    <row r="508" spans="1:37" ht="12.75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  <c r="AC508" s="2"/>
      <c r="AD508" s="2"/>
      <c r="AE508" s="2"/>
      <c r="AF508" s="2"/>
      <c r="AG508" s="2"/>
      <c r="AH508" s="2"/>
      <c r="AI508" s="2"/>
      <c r="AJ508" s="2"/>
      <c r="AK508" s="2"/>
    </row>
    <row r="509" spans="1:37" ht="12.75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  <c r="AC509" s="2"/>
      <c r="AD509" s="2"/>
      <c r="AE509" s="2"/>
      <c r="AF509" s="2"/>
      <c r="AG509" s="2"/>
      <c r="AH509" s="2"/>
      <c r="AI509" s="2"/>
      <c r="AJ509" s="2"/>
      <c r="AK509" s="2"/>
    </row>
    <row r="510" spans="1:37" ht="12.75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  <c r="AC510" s="2"/>
      <c r="AD510" s="2"/>
      <c r="AE510" s="2"/>
      <c r="AF510" s="2"/>
      <c r="AG510" s="2"/>
      <c r="AH510" s="2"/>
      <c r="AI510" s="2"/>
      <c r="AJ510" s="2"/>
      <c r="AK510" s="2"/>
    </row>
    <row r="511" spans="1:37" ht="12.75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  <c r="AC511" s="2"/>
      <c r="AD511" s="2"/>
      <c r="AE511" s="2"/>
      <c r="AF511" s="2"/>
      <c r="AG511" s="2"/>
      <c r="AH511" s="2"/>
      <c r="AI511" s="2"/>
      <c r="AJ511" s="2"/>
      <c r="AK511" s="2"/>
    </row>
    <row r="512" spans="1:37" ht="12.75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  <c r="AC512" s="2"/>
      <c r="AD512" s="2"/>
      <c r="AE512" s="2"/>
      <c r="AF512" s="2"/>
      <c r="AG512" s="2"/>
      <c r="AH512" s="2"/>
      <c r="AI512" s="2"/>
      <c r="AJ512" s="2"/>
      <c r="AK512" s="2"/>
    </row>
    <row r="513" spans="1:37" ht="12.75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  <c r="AC513" s="2"/>
      <c r="AD513" s="2"/>
      <c r="AE513" s="2"/>
      <c r="AF513" s="2"/>
      <c r="AG513" s="2"/>
      <c r="AH513" s="2"/>
      <c r="AI513" s="2"/>
      <c r="AJ513" s="2"/>
      <c r="AK513" s="2"/>
    </row>
    <row r="514" spans="1:37" ht="12.75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  <c r="AC514" s="2"/>
      <c r="AD514" s="2"/>
      <c r="AE514" s="2"/>
      <c r="AF514" s="2"/>
      <c r="AG514" s="2"/>
      <c r="AH514" s="2"/>
      <c r="AI514" s="2"/>
      <c r="AJ514" s="2"/>
      <c r="AK514" s="2"/>
    </row>
    <row r="515" spans="1:37" ht="12.7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  <c r="AC515" s="2"/>
      <c r="AD515" s="2"/>
      <c r="AE515" s="2"/>
      <c r="AF515" s="2"/>
      <c r="AG515" s="2"/>
      <c r="AH515" s="2"/>
      <c r="AI515" s="2"/>
      <c r="AJ515" s="2"/>
      <c r="AK515" s="2"/>
    </row>
    <row r="516" spans="1:37" ht="12.75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  <c r="AC516" s="2"/>
      <c r="AD516" s="2"/>
      <c r="AE516" s="2"/>
      <c r="AF516" s="2"/>
      <c r="AG516" s="2"/>
      <c r="AH516" s="2"/>
      <c r="AI516" s="2"/>
      <c r="AJ516" s="2"/>
      <c r="AK516" s="2"/>
    </row>
    <row r="517" spans="1:37" ht="12.75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  <c r="AC517" s="2"/>
      <c r="AD517" s="2"/>
      <c r="AE517" s="2"/>
      <c r="AF517" s="2"/>
      <c r="AG517" s="2"/>
      <c r="AH517" s="2"/>
      <c r="AI517" s="2"/>
      <c r="AJ517" s="2"/>
      <c r="AK517" s="2"/>
    </row>
    <row r="518" spans="1:37" ht="12.75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  <c r="AC518" s="2"/>
      <c r="AD518" s="2"/>
      <c r="AE518" s="2"/>
      <c r="AF518" s="2"/>
      <c r="AG518" s="2"/>
      <c r="AH518" s="2"/>
      <c r="AI518" s="2"/>
      <c r="AJ518" s="2"/>
      <c r="AK518" s="2"/>
    </row>
    <row r="519" spans="1:37" ht="12.75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  <c r="AC519" s="2"/>
      <c r="AD519" s="2"/>
      <c r="AE519" s="2"/>
      <c r="AF519" s="2"/>
      <c r="AG519" s="2"/>
      <c r="AH519" s="2"/>
      <c r="AI519" s="2"/>
      <c r="AJ519" s="2"/>
      <c r="AK519" s="2"/>
    </row>
    <row r="520" spans="1:37" ht="12.75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  <c r="AC520" s="2"/>
      <c r="AD520" s="2"/>
      <c r="AE520" s="2"/>
      <c r="AF520" s="2"/>
      <c r="AG520" s="2"/>
      <c r="AH520" s="2"/>
      <c r="AI520" s="2"/>
      <c r="AJ520" s="2"/>
      <c r="AK520" s="2"/>
    </row>
    <row r="521" spans="1:37" ht="12.75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  <c r="AC521" s="2"/>
      <c r="AD521" s="2"/>
      <c r="AE521" s="2"/>
      <c r="AF521" s="2"/>
      <c r="AG521" s="2"/>
      <c r="AH521" s="2"/>
      <c r="AI521" s="2"/>
      <c r="AJ521" s="2"/>
      <c r="AK521" s="2"/>
    </row>
    <row r="522" spans="1:37" ht="12.75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  <c r="AC522" s="2"/>
      <c r="AD522" s="2"/>
      <c r="AE522" s="2"/>
      <c r="AF522" s="2"/>
      <c r="AG522" s="2"/>
      <c r="AH522" s="2"/>
      <c r="AI522" s="2"/>
      <c r="AJ522" s="2"/>
      <c r="AK522" s="2"/>
    </row>
    <row r="523" spans="1:37" ht="12.75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  <c r="AC523" s="2"/>
      <c r="AD523" s="2"/>
      <c r="AE523" s="2"/>
      <c r="AF523" s="2"/>
      <c r="AG523" s="2"/>
      <c r="AH523" s="2"/>
      <c r="AI523" s="2"/>
      <c r="AJ523" s="2"/>
      <c r="AK523" s="2"/>
    </row>
    <row r="524" spans="1:37" ht="12.75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  <c r="AC524" s="2"/>
      <c r="AD524" s="2"/>
      <c r="AE524" s="2"/>
      <c r="AF524" s="2"/>
      <c r="AG524" s="2"/>
      <c r="AH524" s="2"/>
      <c r="AI524" s="2"/>
      <c r="AJ524" s="2"/>
      <c r="AK524" s="2"/>
    </row>
    <row r="525" spans="1:37" ht="12.7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  <c r="AC525" s="2"/>
      <c r="AD525" s="2"/>
      <c r="AE525" s="2"/>
      <c r="AF525" s="2"/>
      <c r="AG525" s="2"/>
      <c r="AH525" s="2"/>
      <c r="AI525" s="2"/>
      <c r="AJ525" s="2"/>
      <c r="AK525" s="2"/>
    </row>
    <row r="526" spans="1:37" ht="12.75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  <c r="AC526" s="2"/>
      <c r="AD526" s="2"/>
      <c r="AE526" s="2"/>
      <c r="AF526" s="2"/>
      <c r="AG526" s="2"/>
      <c r="AH526" s="2"/>
      <c r="AI526" s="2"/>
      <c r="AJ526" s="2"/>
      <c r="AK526" s="2"/>
    </row>
    <row r="527" spans="1:37" ht="12.75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  <c r="AC527" s="2"/>
      <c r="AD527" s="2"/>
      <c r="AE527" s="2"/>
      <c r="AF527" s="2"/>
      <c r="AG527" s="2"/>
      <c r="AH527" s="2"/>
      <c r="AI527" s="2"/>
      <c r="AJ527" s="2"/>
      <c r="AK527" s="2"/>
    </row>
    <row r="528" spans="1:37" ht="12.75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  <c r="AC528" s="2"/>
      <c r="AD528" s="2"/>
      <c r="AE528" s="2"/>
      <c r="AF528" s="2"/>
      <c r="AG528" s="2"/>
      <c r="AH528" s="2"/>
      <c r="AI528" s="2"/>
      <c r="AJ528" s="2"/>
      <c r="AK528" s="2"/>
    </row>
    <row r="529" spans="1:37" ht="12.75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  <c r="AC529" s="2"/>
      <c r="AD529" s="2"/>
      <c r="AE529" s="2"/>
      <c r="AF529" s="2"/>
      <c r="AG529" s="2"/>
      <c r="AH529" s="2"/>
      <c r="AI529" s="2"/>
      <c r="AJ529" s="2"/>
      <c r="AK529" s="2"/>
    </row>
    <row r="530" spans="1:37" ht="12.75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  <c r="AC530" s="2"/>
      <c r="AD530" s="2"/>
      <c r="AE530" s="2"/>
      <c r="AF530" s="2"/>
      <c r="AG530" s="2"/>
      <c r="AH530" s="2"/>
      <c r="AI530" s="2"/>
      <c r="AJ530" s="2"/>
      <c r="AK530" s="2"/>
    </row>
    <row r="531" spans="1:37" ht="12.75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  <c r="AC531" s="2"/>
      <c r="AD531" s="2"/>
      <c r="AE531" s="2"/>
      <c r="AF531" s="2"/>
      <c r="AG531" s="2"/>
      <c r="AH531" s="2"/>
      <c r="AI531" s="2"/>
      <c r="AJ531" s="2"/>
      <c r="AK531" s="2"/>
    </row>
    <row r="532" spans="1:37" ht="12.75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  <c r="AC532" s="2"/>
      <c r="AD532" s="2"/>
      <c r="AE532" s="2"/>
      <c r="AF532" s="2"/>
      <c r="AG532" s="2"/>
      <c r="AH532" s="2"/>
      <c r="AI532" s="2"/>
      <c r="AJ532" s="2"/>
      <c r="AK532" s="2"/>
    </row>
    <row r="533" spans="1:37" ht="12.75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  <c r="AC533" s="2"/>
      <c r="AD533" s="2"/>
      <c r="AE533" s="2"/>
      <c r="AF533" s="2"/>
      <c r="AG533" s="2"/>
      <c r="AH533" s="2"/>
      <c r="AI533" s="2"/>
      <c r="AJ533" s="2"/>
      <c r="AK533" s="2"/>
    </row>
    <row r="534" spans="1:37" ht="12.75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  <c r="AC534" s="2"/>
      <c r="AD534" s="2"/>
      <c r="AE534" s="2"/>
      <c r="AF534" s="2"/>
      <c r="AG534" s="2"/>
      <c r="AH534" s="2"/>
      <c r="AI534" s="2"/>
      <c r="AJ534" s="2"/>
      <c r="AK534" s="2"/>
    </row>
    <row r="535" spans="1:37" ht="12.7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  <c r="AC535" s="2"/>
      <c r="AD535" s="2"/>
      <c r="AE535" s="2"/>
      <c r="AF535" s="2"/>
      <c r="AG535" s="2"/>
      <c r="AH535" s="2"/>
      <c r="AI535" s="2"/>
      <c r="AJ535" s="2"/>
      <c r="AK535" s="2"/>
    </row>
    <row r="536" spans="1:37" ht="12.75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  <c r="AC536" s="2"/>
      <c r="AD536" s="2"/>
      <c r="AE536" s="2"/>
      <c r="AF536" s="2"/>
      <c r="AG536" s="2"/>
      <c r="AH536" s="2"/>
      <c r="AI536" s="2"/>
      <c r="AJ536" s="2"/>
      <c r="AK536" s="2"/>
    </row>
    <row r="537" spans="1:37" ht="12.75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  <c r="AC537" s="2"/>
      <c r="AD537" s="2"/>
      <c r="AE537" s="2"/>
      <c r="AF537" s="2"/>
      <c r="AG537" s="2"/>
      <c r="AH537" s="2"/>
      <c r="AI537" s="2"/>
      <c r="AJ537" s="2"/>
      <c r="AK537" s="2"/>
    </row>
    <row r="538" spans="1:37" ht="12.75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  <c r="AC538" s="2"/>
      <c r="AD538" s="2"/>
      <c r="AE538" s="2"/>
      <c r="AF538" s="2"/>
      <c r="AG538" s="2"/>
      <c r="AH538" s="2"/>
      <c r="AI538" s="2"/>
      <c r="AJ538" s="2"/>
      <c r="AK538" s="2"/>
    </row>
    <row r="539" spans="1:37" ht="12.75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  <c r="AC539" s="2"/>
      <c r="AD539" s="2"/>
      <c r="AE539" s="2"/>
      <c r="AF539" s="2"/>
      <c r="AG539" s="2"/>
      <c r="AH539" s="2"/>
      <c r="AI539" s="2"/>
      <c r="AJ539" s="2"/>
      <c r="AK539" s="2"/>
    </row>
    <row r="540" spans="1:37" ht="12.75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  <c r="AC540" s="2"/>
      <c r="AD540" s="2"/>
      <c r="AE540" s="2"/>
      <c r="AF540" s="2"/>
      <c r="AG540" s="2"/>
      <c r="AH540" s="2"/>
      <c r="AI540" s="2"/>
      <c r="AJ540" s="2"/>
      <c r="AK540" s="2"/>
    </row>
    <row r="541" spans="1:37" ht="12.75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  <c r="AC541" s="2"/>
      <c r="AD541" s="2"/>
      <c r="AE541" s="2"/>
      <c r="AF541" s="2"/>
      <c r="AG541" s="2"/>
      <c r="AH541" s="2"/>
      <c r="AI541" s="2"/>
      <c r="AJ541" s="2"/>
      <c r="AK541" s="2"/>
    </row>
    <row r="542" spans="1:37" ht="12.75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  <c r="AC542" s="2"/>
      <c r="AD542" s="2"/>
      <c r="AE542" s="2"/>
      <c r="AF542" s="2"/>
      <c r="AG542" s="2"/>
      <c r="AH542" s="2"/>
      <c r="AI542" s="2"/>
      <c r="AJ542" s="2"/>
      <c r="AK542" s="2"/>
    </row>
    <row r="543" spans="1:37" ht="12.75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  <c r="AC543" s="2"/>
      <c r="AD543" s="2"/>
      <c r="AE543" s="2"/>
      <c r="AF543" s="2"/>
      <c r="AG543" s="2"/>
      <c r="AH543" s="2"/>
      <c r="AI543" s="2"/>
      <c r="AJ543" s="2"/>
      <c r="AK543" s="2"/>
    </row>
    <row r="544" spans="1:37" ht="12.75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  <c r="AC544" s="2"/>
      <c r="AD544" s="2"/>
      <c r="AE544" s="2"/>
      <c r="AF544" s="2"/>
      <c r="AG544" s="2"/>
      <c r="AH544" s="2"/>
      <c r="AI544" s="2"/>
      <c r="AJ544" s="2"/>
      <c r="AK544" s="2"/>
    </row>
    <row r="545" spans="1:37" ht="12.7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  <c r="AC545" s="2"/>
      <c r="AD545" s="2"/>
      <c r="AE545" s="2"/>
      <c r="AF545" s="2"/>
      <c r="AG545" s="2"/>
      <c r="AH545" s="2"/>
      <c r="AI545" s="2"/>
      <c r="AJ545" s="2"/>
      <c r="AK545" s="2"/>
    </row>
    <row r="546" spans="1:37" ht="12.75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  <c r="AC546" s="2"/>
      <c r="AD546" s="2"/>
      <c r="AE546" s="2"/>
      <c r="AF546" s="2"/>
      <c r="AG546" s="2"/>
      <c r="AH546" s="2"/>
      <c r="AI546" s="2"/>
      <c r="AJ546" s="2"/>
      <c r="AK546" s="2"/>
    </row>
    <row r="547" spans="1:37" ht="12.75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  <c r="AC547" s="2"/>
      <c r="AD547" s="2"/>
      <c r="AE547" s="2"/>
      <c r="AF547" s="2"/>
      <c r="AG547" s="2"/>
      <c r="AH547" s="2"/>
      <c r="AI547" s="2"/>
      <c r="AJ547" s="2"/>
      <c r="AK547" s="2"/>
    </row>
    <row r="548" spans="1:37" ht="12.75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  <c r="AC548" s="2"/>
      <c r="AD548" s="2"/>
      <c r="AE548" s="2"/>
      <c r="AF548" s="2"/>
      <c r="AG548" s="2"/>
      <c r="AH548" s="2"/>
      <c r="AI548" s="2"/>
      <c r="AJ548" s="2"/>
      <c r="AK548" s="2"/>
    </row>
    <row r="549" spans="1:37" ht="12.75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  <c r="AC549" s="2"/>
      <c r="AD549" s="2"/>
      <c r="AE549" s="2"/>
      <c r="AF549" s="2"/>
      <c r="AG549" s="2"/>
      <c r="AH549" s="2"/>
      <c r="AI549" s="2"/>
      <c r="AJ549" s="2"/>
      <c r="AK549" s="2"/>
    </row>
    <row r="550" spans="1:37" ht="12.75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  <c r="AC550" s="2"/>
      <c r="AD550" s="2"/>
      <c r="AE550" s="2"/>
      <c r="AF550" s="2"/>
      <c r="AG550" s="2"/>
      <c r="AH550" s="2"/>
      <c r="AI550" s="2"/>
      <c r="AJ550" s="2"/>
      <c r="AK550" s="2"/>
    </row>
    <row r="551" spans="1:37" ht="12.75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  <c r="AC551" s="2"/>
      <c r="AD551" s="2"/>
      <c r="AE551" s="2"/>
      <c r="AF551" s="2"/>
      <c r="AG551" s="2"/>
      <c r="AH551" s="2"/>
      <c r="AI551" s="2"/>
      <c r="AJ551" s="2"/>
      <c r="AK551" s="2"/>
    </row>
    <row r="552" spans="1:37" ht="12.75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  <c r="AC552" s="2"/>
      <c r="AD552" s="2"/>
      <c r="AE552" s="2"/>
      <c r="AF552" s="2"/>
      <c r="AG552" s="2"/>
      <c r="AH552" s="2"/>
      <c r="AI552" s="2"/>
      <c r="AJ552" s="2"/>
      <c r="AK552" s="2"/>
    </row>
    <row r="553" spans="1:37" ht="12.75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  <c r="AC553" s="2"/>
      <c r="AD553" s="2"/>
      <c r="AE553" s="2"/>
      <c r="AF553" s="2"/>
      <c r="AG553" s="2"/>
      <c r="AH553" s="2"/>
      <c r="AI553" s="2"/>
      <c r="AJ553" s="2"/>
      <c r="AK553" s="2"/>
    </row>
    <row r="554" spans="1:37" ht="12.75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  <c r="AC554" s="2"/>
      <c r="AD554" s="2"/>
      <c r="AE554" s="2"/>
      <c r="AF554" s="2"/>
      <c r="AG554" s="2"/>
      <c r="AH554" s="2"/>
      <c r="AI554" s="2"/>
      <c r="AJ554" s="2"/>
      <c r="AK554" s="2"/>
    </row>
    <row r="555" spans="1:37" ht="12.7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  <c r="AC555" s="2"/>
      <c r="AD555" s="2"/>
      <c r="AE555" s="2"/>
      <c r="AF555" s="2"/>
      <c r="AG555" s="2"/>
      <c r="AH555" s="2"/>
      <c r="AI555" s="2"/>
      <c r="AJ555" s="2"/>
      <c r="AK555" s="2"/>
    </row>
    <row r="556" spans="1:37" ht="12.75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  <c r="AC556" s="2"/>
      <c r="AD556" s="2"/>
      <c r="AE556" s="2"/>
      <c r="AF556" s="2"/>
      <c r="AG556" s="2"/>
      <c r="AH556" s="2"/>
      <c r="AI556" s="2"/>
      <c r="AJ556" s="2"/>
      <c r="AK556" s="2"/>
    </row>
    <row r="557" spans="1:37" ht="12.75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  <c r="AC557" s="2"/>
      <c r="AD557" s="2"/>
      <c r="AE557" s="2"/>
      <c r="AF557" s="2"/>
      <c r="AG557" s="2"/>
      <c r="AH557" s="2"/>
      <c r="AI557" s="2"/>
      <c r="AJ557" s="2"/>
      <c r="AK557" s="2"/>
    </row>
    <row r="558" spans="1:37" ht="12.75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  <c r="AC558" s="2"/>
      <c r="AD558" s="2"/>
      <c r="AE558" s="2"/>
      <c r="AF558" s="2"/>
      <c r="AG558" s="2"/>
      <c r="AH558" s="2"/>
      <c r="AI558" s="2"/>
      <c r="AJ558" s="2"/>
      <c r="AK558" s="2"/>
    </row>
    <row r="559" spans="1:37" ht="12.75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  <c r="AC559" s="2"/>
      <c r="AD559" s="2"/>
      <c r="AE559" s="2"/>
      <c r="AF559" s="2"/>
      <c r="AG559" s="2"/>
      <c r="AH559" s="2"/>
      <c r="AI559" s="2"/>
      <c r="AJ559" s="2"/>
      <c r="AK559" s="2"/>
    </row>
    <row r="560" spans="1:37" ht="12.75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  <c r="AC560" s="2"/>
      <c r="AD560" s="2"/>
      <c r="AE560" s="2"/>
      <c r="AF560" s="2"/>
      <c r="AG560" s="2"/>
      <c r="AH560" s="2"/>
      <c r="AI560" s="2"/>
      <c r="AJ560" s="2"/>
      <c r="AK560" s="2"/>
    </row>
    <row r="561" spans="1:37" ht="12.75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  <c r="AC561" s="2"/>
      <c r="AD561" s="2"/>
      <c r="AE561" s="2"/>
      <c r="AF561" s="2"/>
      <c r="AG561" s="2"/>
      <c r="AH561" s="2"/>
      <c r="AI561" s="2"/>
      <c r="AJ561" s="2"/>
      <c r="AK561" s="2"/>
    </row>
    <row r="562" spans="1:37" ht="12.75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  <c r="AC562" s="2"/>
      <c r="AD562" s="2"/>
      <c r="AE562" s="2"/>
      <c r="AF562" s="2"/>
      <c r="AG562" s="2"/>
      <c r="AH562" s="2"/>
      <c r="AI562" s="2"/>
      <c r="AJ562" s="2"/>
      <c r="AK562" s="2"/>
    </row>
    <row r="563" spans="1:37" ht="12.75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  <c r="AC563" s="2"/>
      <c r="AD563" s="2"/>
      <c r="AE563" s="2"/>
      <c r="AF563" s="2"/>
      <c r="AG563" s="2"/>
      <c r="AH563" s="2"/>
      <c r="AI563" s="2"/>
      <c r="AJ563" s="2"/>
      <c r="AK563" s="2"/>
    </row>
    <row r="564" spans="1:37" ht="12.75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  <c r="AC564" s="2"/>
      <c r="AD564" s="2"/>
      <c r="AE564" s="2"/>
      <c r="AF564" s="2"/>
      <c r="AG564" s="2"/>
      <c r="AH564" s="2"/>
      <c r="AI564" s="2"/>
      <c r="AJ564" s="2"/>
      <c r="AK564" s="2"/>
    </row>
    <row r="565" spans="1:37" ht="12.7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  <c r="AC565" s="2"/>
      <c r="AD565" s="2"/>
      <c r="AE565" s="2"/>
      <c r="AF565" s="2"/>
      <c r="AG565" s="2"/>
      <c r="AH565" s="2"/>
      <c r="AI565" s="2"/>
      <c r="AJ565" s="2"/>
      <c r="AK565" s="2"/>
    </row>
    <row r="566" spans="1:37" ht="12.75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  <c r="AC566" s="2"/>
      <c r="AD566" s="2"/>
      <c r="AE566" s="2"/>
      <c r="AF566" s="2"/>
      <c r="AG566" s="2"/>
      <c r="AH566" s="2"/>
      <c r="AI566" s="2"/>
      <c r="AJ566" s="2"/>
      <c r="AK566" s="2"/>
    </row>
    <row r="567" spans="1:37" ht="12.75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  <c r="AC567" s="2"/>
      <c r="AD567" s="2"/>
      <c r="AE567" s="2"/>
      <c r="AF567" s="2"/>
      <c r="AG567" s="2"/>
      <c r="AH567" s="2"/>
      <c r="AI567" s="2"/>
      <c r="AJ567" s="2"/>
      <c r="AK567" s="2"/>
    </row>
    <row r="568" spans="1:37" ht="12.75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  <c r="AC568" s="2"/>
      <c r="AD568" s="2"/>
      <c r="AE568" s="2"/>
      <c r="AF568" s="2"/>
      <c r="AG568" s="2"/>
      <c r="AH568" s="2"/>
      <c r="AI568" s="2"/>
      <c r="AJ568" s="2"/>
      <c r="AK568" s="2"/>
    </row>
    <row r="569" spans="1:37" ht="12.75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  <c r="AC569" s="2"/>
      <c r="AD569" s="2"/>
      <c r="AE569" s="2"/>
      <c r="AF569" s="2"/>
      <c r="AG569" s="2"/>
      <c r="AH569" s="2"/>
      <c r="AI569" s="2"/>
      <c r="AJ569" s="2"/>
      <c r="AK569" s="2"/>
    </row>
    <row r="570" spans="1:37" ht="12.75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  <c r="AC570" s="2"/>
      <c r="AD570" s="2"/>
      <c r="AE570" s="2"/>
      <c r="AF570" s="2"/>
      <c r="AG570" s="2"/>
      <c r="AH570" s="2"/>
      <c r="AI570" s="2"/>
      <c r="AJ570" s="2"/>
      <c r="AK570" s="2"/>
    </row>
    <row r="571" spans="1:37" ht="12.75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  <c r="AC571" s="2"/>
      <c r="AD571" s="2"/>
      <c r="AE571" s="2"/>
      <c r="AF571" s="2"/>
      <c r="AG571" s="2"/>
      <c r="AH571" s="2"/>
      <c r="AI571" s="2"/>
      <c r="AJ571" s="2"/>
      <c r="AK571" s="2"/>
    </row>
    <row r="572" spans="1:37" ht="12.75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  <c r="AC572" s="2"/>
      <c r="AD572" s="2"/>
      <c r="AE572" s="2"/>
      <c r="AF572" s="2"/>
      <c r="AG572" s="2"/>
      <c r="AH572" s="2"/>
      <c r="AI572" s="2"/>
      <c r="AJ572" s="2"/>
      <c r="AK572" s="2"/>
    </row>
    <row r="573" spans="1:37" ht="12.75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  <c r="AC573" s="2"/>
      <c r="AD573" s="2"/>
      <c r="AE573" s="2"/>
      <c r="AF573" s="2"/>
      <c r="AG573" s="2"/>
      <c r="AH573" s="2"/>
      <c r="AI573" s="2"/>
      <c r="AJ573" s="2"/>
      <c r="AK573" s="2"/>
    </row>
    <row r="574" spans="1:37" ht="12.75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  <c r="AC574" s="2"/>
      <c r="AD574" s="2"/>
      <c r="AE574" s="2"/>
      <c r="AF574" s="2"/>
      <c r="AG574" s="2"/>
      <c r="AH574" s="2"/>
      <c r="AI574" s="2"/>
      <c r="AJ574" s="2"/>
      <c r="AK574" s="2"/>
    </row>
    <row r="575" spans="1:37" ht="12.7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  <c r="AC575" s="2"/>
      <c r="AD575" s="2"/>
      <c r="AE575" s="2"/>
      <c r="AF575" s="2"/>
      <c r="AG575" s="2"/>
      <c r="AH575" s="2"/>
      <c r="AI575" s="2"/>
      <c r="AJ575" s="2"/>
      <c r="AK575" s="2"/>
    </row>
    <row r="576" spans="1:37" ht="12.75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  <c r="AC576" s="2"/>
      <c r="AD576" s="2"/>
      <c r="AE576" s="2"/>
      <c r="AF576" s="2"/>
      <c r="AG576" s="2"/>
      <c r="AH576" s="2"/>
      <c r="AI576" s="2"/>
      <c r="AJ576" s="2"/>
      <c r="AK576" s="2"/>
    </row>
    <row r="577" spans="1:37" ht="12.75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  <c r="AC577" s="2"/>
      <c r="AD577" s="2"/>
      <c r="AE577" s="2"/>
      <c r="AF577" s="2"/>
      <c r="AG577" s="2"/>
      <c r="AH577" s="2"/>
      <c r="AI577" s="2"/>
      <c r="AJ577" s="2"/>
      <c r="AK577" s="2"/>
    </row>
    <row r="578" spans="1:37" ht="12.75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  <c r="AC578" s="2"/>
      <c r="AD578" s="2"/>
      <c r="AE578" s="2"/>
      <c r="AF578" s="2"/>
      <c r="AG578" s="2"/>
      <c r="AH578" s="2"/>
      <c r="AI578" s="2"/>
      <c r="AJ578" s="2"/>
      <c r="AK578" s="2"/>
    </row>
    <row r="579" spans="1:37" ht="12.75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  <c r="AC579" s="2"/>
      <c r="AD579" s="2"/>
      <c r="AE579" s="2"/>
      <c r="AF579" s="2"/>
      <c r="AG579" s="2"/>
      <c r="AH579" s="2"/>
      <c r="AI579" s="2"/>
      <c r="AJ579" s="2"/>
      <c r="AK579" s="2"/>
    </row>
    <row r="580" spans="1:37" ht="12.75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  <c r="AC580" s="2"/>
      <c r="AD580" s="2"/>
      <c r="AE580" s="2"/>
      <c r="AF580" s="2"/>
      <c r="AG580" s="2"/>
      <c r="AH580" s="2"/>
      <c r="AI580" s="2"/>
      <c r="AJ580" s="2"/>
      <c r="AK580" s="2"/>
    </row>
    <row r="581" spans="1:37" ht="12.75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  <c r="AC581" s="2"/>
      <c r="AD581" s="2"/>
      <c r="AE581" s="2"/>
      <c r="AF581" s="2"/>
      <c r="AG581" s="2"/>
      <c r="AH581" s="2"/>
      <c r="AI581" s="2"/>
      <c r="AJ581" s="2"/>
      <c r="AK581" s="2"/>
    </row>
    <row r="582" spans="1:37" ht="12.75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  <c r="AC582" s="2"/>
      <c r="AD582" s="2"/>
      <c r="AE582" s="2"/>
      <c r="AF582" s="2"/>
      <c r="AG582" s="2"/>
      <c r="AH582" s="2"/>
      <c r="AI582" s="2"/>
      <c r="AJ582" s="2"/>
      <c r="AK582" s="2"/>
    </row>
    <row r="583" spans="1:37" ht="12.75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  <c r="AC583" s="2"/>
      <c r="AD583" s="2"/>
      <c r="AE583" s="2"/>
      <c r="AF583" s="2"/>
      <c r="AG583" s="2"/>
      <c r="AH583" s="2"/>
      <c r="AI583" s="2"/>
      <c r="AJ583" s="2"/>
      <c r="AK583" s="2"/>
    </row>
    <row r="584" spans="1:37" ht="12.75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  <c r="AC584" s="2"/>
      <c r="AD584" s="2"/>
      <c r="AE584" s="2"/>
      <c r="AF584" s="2"/>
      <c r="AG584" s="2"/>
      <c r="AH584" s="2"/>
      <c r="AI584" s="2"/>
      <c r="AJ584" s="2"/>
      <c r="AK584" s="2"/>
    </row>
    <row r="585" spans="1:37" ht="12.7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  <c r="AC585" s="2"/>
      <c r="AD585" s="2"/>
      <c r="AE585" s="2"/>
      <c r="AF585" s="2"/>
      <c r="AG585" s="2"/>
      <c r="AH585" s="2"/>
      <c r="AI585" s="2"/>
      <c r="AJ585" s="2"/>
      <c r="AK585" s="2"/>
    </row>
    <row r="586" spans="1:37" ht="12.75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  <c r="AC586" s="2"/>
      <c r="AD586" s="2"/>
      <c r="AE586" s="2"/>
      <c r="AF586" s="2"/>
      <c r="AG586" s="2"/>
      <c r="AH586" s="2"/>
      <c r="AI586" s="2"/>
      <c r="AJ586" s="2"/>
      <c r="AK586" s="2"/>
    </row>
    <row r="587" spans="1:37" ht="12.75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  <c r="AC587" s="2"/>
      <c r="AD587" s="2"/>
      <c r="AE587" s="2"/>
      <c r="AF587" s="2"/>
      <c r="AG587" s="2"/>
      <c r="AH587" s="2"/>
      <c r="AI587" s="2"/>
      <c r="AJ587" s="2"/>
      <c r="AK587" s="2"/>
    </row>
    <row r="588" spans="1:37" ht="12.75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  <c r="AC588" s="2"/>
      <c r="AD588" s="2"/>
      <c r="AE588" s="2"/>
      <c r="AF588" s="2"/>
      <c r="AG588" s="2"/>
      <c r="AH588" s="2"/>
      <c r="AI588" s="2"/>
      <c r="AJ588" s="2"/>
      <c r="AK588" s="2"/>
    </row>
    <row r="589" spans="1:37" ht="12.75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  <c r="AC589" s="2"/>
      <c r="AD589" s="2"/>
      <c r="AE589" s="2"/>
      <c r="AF589" s="2"/>
      <c r="AG589" s="2"/>
      <c r="AH589" s="2"/>
      <c r="AI589" s="2"/>
      <c r="AJ589" s="2"/>
      <c r="AK589" s="2"/>
    </row>
    <row r="590" spans="1:37" ht="12.75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  <c r="AC590" s="2"/>
      <c r="AD590" s="2"/>
      <c r="AE590" s="2"/>
      <c r="AF590" s="2"/>
      <c r="AG590" s="2"/>
      <c r="AH590" s="2"/>
      <c r="AI590" s="2"/>
      <c r="AJ590" s="2"/>
      <c r="AK590" s="2"/>
    </row>
    <row r="591" spans="1:37" ht="12.75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  <c r="AC591" s="2"/>
      <c r="AD591" s="2"/>
      <c r="AE591" s="2"/>
      <c r="AF591" s="2"/>
      <c r="AG591" s="2"/>
      <c r="AH591" s="2"/>
      <c r="AI591" s="2"/>
      <c r="AJ591" s="2"/>
      <c r="AK591" s="2"/>
    </row>
    <row r="592" spans="1:37" ht="12.75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  <c r="AC592" s="2"/>
      <c r="AD592" s="2"/>
      <c r="AE592" s="2"/>
      <c r="AF592" s="2"/>
      <c r="AG592" s="2"/>
      <c r="AH592" s="2"/>
      <c r="AI592" s="2"/>
      <c r="AJ592" s="2"/>
      <c r="AK592" s="2"/>
    </row>
    <row r="593" spans="1:37" ht="12.75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  <c r="AC593" s="2"/>
      <c r="AD593" s="2"/>
      <c r="AE593" s="2"/>
      <c r="AF593" s="2"/>
      <c r="AG593" s="2"/>
      <c r="AH593" s="2"/>
      <c r="AI593" s="2"/>
      <c r="AJ593" s="2"/>
      <c r="AK593" s="2"/>
    </row>
    <row r="594" spans="1:37" ht="12.75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  <c r="AC594" s="2"/>
      <c r="AD594" s="2"/>
      <c r="AE594" s="2"/>
      <c r="AF594" s="2"/>
      <c r="AG594" s="2"/>
      <c r="AH594" s="2"/>
      <c r="AI594" s="2"/>
      <c r="AJ594" s="2"/>
      <c r="AK594" s="2"/>
    </row>
    <row r="595" spans="1:37" ht="12.7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  <c r="AC595" s="2"/>
      <c r="AD595" s="2"/>
      <c r="AE595" s="2"/>
      <c r="AF595" s="2"/>
      <c r="AG595" s="2"/>
      <c r="AH595" s="2"/>
      <c r="AI595" s="2"/>
      <c r="AJ595" s="2"/>
      <c r="AK595" s="2"/>
    </row>
    <row r="596" spans="1:37" ht="12.75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  <c r="AC596" s="2"/>
      <c r="AD596" s="2"/>
      <c r="AE596" s="2"/>
      <c r="AF596" s="2"/>
      <c r="AG596" s="2"/>
      <c r="AH596" s="2"/>
      <c r="AI596" s="2"/>
      <c r="AJ596" s="2"/>
      <c r="AK596" s="2"/>
    </row>
    <row r="597" spans="1:37" ht="12.75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  <c r="AC597" s="2"/>
      <c r="AD597" s="2"/>
      <c r="AE597" s="2"/>
      <c r="AF597" s="2"/>
      <c r="AG597" s="2"/>
      <c r="AH597" s="2"/>
      <c r="AI597" s="2"/>
      <c r="AJ597" s="2"/>
      <c r="AK597" s="2"/>
    </row>
    <row r="598" spans="1:37" ht="12.75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  <c r="AC598" s="2"/>
      <c r="AD598" s="2"/>
      <c r="AE598" s="2"/>
      <c r="AF598" s="2"/>
      <c r="AG598" s="2"/>
      <c r="AH598" s="2"/>
      <c r="AI598" s="2"/>
      <c r="AJ598" s="2"/>
      <c r="AK598" s="2"/>
    </row>
    <row r="599" spans="1:37" ht="12.75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  <c r="AC599" s="2"/>
      <c r="AD599" s="2"/>
      <c r="AE599" s="2"/>
      <c r="AF599" s="2"/>
      <c r="AG599" s="2"/>
      <c r="AH599" s="2"/>
      <c r="AI599" s="2"/>
      <c r="AJ599" s="2"/>
      <c r="AK599" s="2"/>
    </row>
    <row r="600" spans="1:37" ht="12.75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  <c r="AC600" s="2"/>
      <c r="AD600" s="2"/>
      <c r="AE600" s="2"/>
      <c r="AF600" s="2"/>
      <c r="AG600" s="2"/>
      <c r="AH600" s="2"/>
      <c r="AI600" s="2"/>
      <c r="AJ600" s="2"/>
      <c r="AK600" s="2"/>
    </row>
    <row r="601" spans="1:37" ht="12.75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  <c r="AC601" s="2"/>
      <c r="AD601" s="2"/>
      <c r="AE601" s="2"/>
      <c r="AF601" s="2"/>
      <c r="AG601" s="2"/>
      <c r="AH601" s="2"/>
      <c r="AI601" s="2"/>
      <c r="AJ601" s="2"/>
      <c r="AK601" s="2"/>
    </row>
    <row r="602" spans="1:37" ht="12.75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  <c r="AC602" s="2"/>
      <c r="AD602" s="2"/>
      <c r="AE602" s="2"/>
      <c r="AF602" s="2"/>
      <c r="AG602" s="2"/>
      <c r="AH602" s="2"/>
      <c r="AI602" s="2"/>
      <c r="AJ602" s="2"/>
      <c r="AK602" s="2"/>
    </row>
    <row r="603" spans="1:37" ht="12.75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  <c r="AC603" s="2"/>
      <c r="AD603" s="2"/>
      <c r="AE603" s="2"/>
      <c r="AF603" s="2"/>
      <c r="AG603" s="2"/>
      <c r="AH603" s="2"/>
      <c r="AI603" s="2"/>
      <c r="AJ603" s="2"/>
      <c r="AK603" s="2"/>
    </row>
    <row r="604" spans="1:37" ht="12.75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  <c r="AC604" s="2"/>
      <c r="AD604" s="2"/>
      <c r="AE604" s="2"/>
      <c r="AF604" s="2"/>
      <c r="AG604" s="2"/>
      <c r="AH604" s="2"/>
      <c r="AI604" s="2"/>
      <c r="AJ604" s="2"/>
      <c r="AK604" s="2"/>
    </row>
    <row r="605" spans="1:37" ht="12.7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  <c r="AC605" s="2"/>
      <c r="AD605" s="2"/>
      <c r="AE605" s="2"/>
      <c r="AF605" s="2"/>
      <c r="AG605" s="2"/>
      <c r="AH605" s="2"/>
      <c r="AI605" s="2"/>
      <c r="AJ605" s="2"/>
      <c r="AK605" s="2"/>
    </row>
    <row r="606" spans="1:37" ht="12.75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  <c r="AC606" s="2"/>
      <c r="AD606" s="2"/>
      <c r="AE606" s="2"/>
      <c r="AF606" s="2"/>
      <c r="AG606" s="2"/>
      <c r="AH606" s="2"/>
      <c r="AI606" s="2"/>
      <c r="AJ606" s="2"/>
      <c r="AK606" s="2"/>
    </row>
    <row r="607" spans="1:37" ht="12.75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  <c r="AC607" s="2"/>
      <c r="AD607" s="2"/>
      <c r="AE607" s="2"/>
      <c r="AF607" s="2"/>
      <c r="AG607" s="2"/>
      <c r="AH607" s="2"/>
      <c r="AI607" s="2"/>
      <c r="AJ607" s="2"/>
      <c r="AK607" s="2"/>
    </row>
    <row r="608" spans="1:37" ht="12.75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  <c r="AC608" s="2"/>
      <c r="AD608" s="2"/>
      <c r="AE608" s="2"/>
      <c r="AF608" s="2"/>
      <c r="AG608" s="2"/>
      <c r="AH608" s="2"/>
      <c r="AI608" s="2"/>
      <c r="AJ608" s="2"/>
      <c r="AK608" s="2"/>
    </row>
    <row r="609" spans="1:37" ht="12.75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  <c r="AC609" s="2"/>
      <c r="AD609" s="2"/>
      <c r="AE609" s="2"/>
      <c r="AF609" s="2"/>
      <c r="AG609" s="2"/>
      <c r="AH609" s="2"/>
      <c r="AI609" s="2"/>
      <c r="AJ609" s="2"/>
      <c r="AK609" s="2"/>
    </row>
    <row r="610" spans="1:37" ht="12.75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  <c r="AC610" s="2"/>
      <c r="AD610" s="2"/>
      <c r="AE610" s="2"/>
      <c r="AF610" s="2"/>
      <c r="AG610" s="2"/>
      <c r="AH610" s="2"/>
      <c r="AI610" s="2"/>
      <c r="AJ610" s="2"/>
      <c r="AK610" s="2"/>
    </row>
    <row r="611" spans="1:37" ht="12.75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  <c r="AC611" s="2"/>
      <c r="AD611" s="2"/>
      <c r="AE611" s="2"/>
      <c r="AF611" s="2"/>
      <c r="AG611" s="2"/>
      <c r="AH611" s="2"/>
      <c r="AI611" s="2"/>
      <c r="AJ611" s="2"/>
      <c r="AK611" s="2"/>
    </row>
    <row r="612" spans="1:37" ht="12.75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  <c r="AC612" s="2"/>
      <c r="AD612" s="2"/>
      <c r="AE612" s="2"/>
      <c r="AF612" s="2"/>
      <c r="AG612" s="2"/>
      <c r="AH612" s="2"/>
      <c r="AI612" s="2"/>
      <c r="AJ612" s="2"/>
      <c r="AK612" s="2"/>
    </row>
    <row r="613" spans="1:37" ht="12.75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  <c r="AC613" s="2"/>
      <c r="AD613" s="2"/>
      <c r="AE613" s="2"/>
      <c r="AF613" s="2"/>
      <c r="AG613" s="2"/>
      <c r="AH613" s="2"/>
      <c r="AI613" s="2"/>
      <c r="AJ613" s="2"/>
      <c r="AK613" s="2"/>
    </row>
    <row r="614" spans="1:37" ht="12.75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  <c r="AC614" s="2"/>
      <c r="AD614" s="2"/>
      <c r="AE614" s="2"/>
      <c r="AF614" s="2"/>
      <c r="AG614" s="2"/>
      <c r="AH614" s="2"/>
      <c r="AI614" s="2"/>
      <c r="AJ614" s="2"/>
      <c r="AK614" s="2"/>
    </row>
    <row r="615" spans="1:37" ht="12.7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  <c r="AC615" s="2"/>
      <c r="AD615" s="2"/>
      <c r="AE615" s="2"/>
      <c r="AF615" s="2"/>
      <c r="AG615" s="2"/>
      <c r="AH615" s="2"/>
      <c r="AI615" s="2"/>
      <c r="AJ615" s="2"/>
      <c r="AK615" s="2"/>
    </row>
    <row r="616" spans="1:37" ht="12.75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  <c r="AC616" s="2"/>
      <c r="AD616" s="2"/>
      <c r="AE616" s="2"/>
      <c r="AF616" s="2"/>
      <c r="AG616" s="2"/>
      <c r="AH616" s="2"/>
      <c r="AI616" s="2"/>
      <c r="AJ616" s="2"/>
      <c r="AK616" s="2"/>
    </row>
    <row r="617" spans="1:37" ht="12.75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  <c r="AC617" s="2"/>
      <c r="AD617" s="2"/>
      <c r="AE617" s="2"/>
      <c r="AF617" s="2"/>
      <c r="AG617" s="2"/>
      <c r="AH617" s="2"/>
      <c r="AI617" s="2"/>
      <c r="AJ617" s="2"/>
      <c r="AK617" s="2"/>
    </row>
    <row r="618" spans="1:37" ht="12.75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  <c r="AC618" s="2"/>
      <c r="AD618" s="2"/>
      <c r="AE618" s="2"/>
      <c r="AF618" s="2"/>
      <c r="AG618" s="2"/>
      <c r="AH618" s="2"/>
      <c r="AI618" s="2"/>
      <c r="AJ618" s="2"/>
      <c r="AK618" s="2"/>
    </row>
    <row r="619" spans="1:37" ht="12.75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  <c r="AC619" s="2"/>
      <c r="AD619" s="2"/>
      <c r="AE619" s="2"/>
      <c r="AF619" s="2"/>
      <c r="AG619" s="2"/>
      <c r="AH619" s="2"/>
      <c r="AI619" s="2"/>
      <c r="AJ619" s="2"/>
      <c r="AK619" s="2"/>
    </row>
    <row r="620" spans="1:37" ht="12.75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  <c r="AC620" s="2"/>
      <c r="AD620" s="2"/>
      <c r="AE620" s="2"/>
      <c r="AF620" s="2"/>
      <c r="AG620" s="2"/>
      <c r="AH620" s="2"/>
      <c r="AI620" s="2"/>
      <c r="AJ620" s="2"/>
      <c r="AK620" s="2"/>
    </row>
    <row r="621" spans="1:37" ht="12.75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  <c r="AC621" s="2"/>
      <c r="AD621" s="2"/>
      <c r="AE621" s="2"/>
      <c r="AF621" s="2"/>
      <c r="AG621" s="2"/>
      <c r="AH621" s="2"/>
      <c r="AI621" s="2"/>
      <c r="AJ621" s="2"/>
      <c r="AK621" s="2"/>
    </row>
    <row r="622" spans="1:37" ht="12.75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  <c r="AC622" s="2"/>
      <c r="AD622" s="2"/>
      <c r="AE622" s="2"/>
      <c r="AF622" s="2"/>
      <c r="AG622" s="2"/>
      <c r="AH622" s="2"/>
      <c r="AI622" s="2"/>
      <c r="AJ622" s="2"/>
      <c r="AK622" s="2"/>
    </row>
    <row r="623" spans="1:37" ht="12.75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  <c r="AC623" s="2"/>
      <c r="AD623" s="2"/>
      <c r="AE623" s="2"/>
      <c r="AF623" s="2"/>
      <c r="AG623" s="2"/>
      <c r="AH623" s="2"/>
      <c r="AI623" s="2"/>
      <c r="AJ623" s="2"/>
      <c r="AK623" s="2"/>
    </row>
    <row r="624" spans="1:37" ht="12.75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  <c r="AC624" s="2"/>
      <c r="AD624" s="2"/>
      <c r="AE624" s="2"/>
      <c r="AF624" s="2"/>
      <c r="AG624" s="2"/>
      <c r="AH624" s="2"/>
      <c r="AI624" s="2"/>
      <c r="AJ624" s="2"/>
      <c r="AK624" s="2"/>
    </row>
    <row r="625" spans="1:37" ht="12.7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  <c r="AC625" s="2"/>
      <c r="AD625" s="2"/>
      <c r="AE625" s="2"/>
      <c r="AF625" s="2"/>
      <c r="AG625" s="2"/>
      <c r="AH625" s="2"/>
      <c r="AI625" s="2"/>
      <c r="AJ625" s="2"/>
      <c r="AK625" s="2"/>
    </row>
    <row r="626" spans="1:37" ht="12.75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  <c r="AC626" s="2"/>
      <c r="AD626" s="2"/>
      <c r="AE626" s="2"/>
      <c r="AF626" s="2"/>
      <c r="AG626" s="2"/>
      <c r="AH626" s="2"/>
      <c r="AI626" s="2"/>
      <c r="AJ626" s="2"/>
      <c r="AK626" s="2"/>
    </row>
    <row r="627" spans="1:37" ht="12.75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  <c r="AC627" s="2"/>
      <c r="AD627" s="2"/>
      <c r="AE627" s="2"/>
      <c r="AF627" s="2"/>
      <c r="AG627" s="2"/>
      <c r="AH627" s="2"/>
      <c r="AI627" s="2"/>
      <c r="AJ627" s="2"/>
      <c r="AK627" s="2"/>
    </row>
    <row r="628" spans="1:37" ht="12.75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  <c r="AC628" s="2"/>
      <c r="AD628" s="2"/>
      <c r="AE628" s="2"/>
      <c r="AF628" s="2"/>
      <c r="AG628" s="2"/>
      <c r="AH628" s="2"/>
      <c r="AI628" s="2"/>
      <c r="AJ628" s="2"/>
      <c r="AK628" s="2"/>
    </row>
    <row r="629" spans="1:37" ht="12.75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  <c r="AC629" s="2"/>
      <c r="AD629" s="2"/>
      <c r="AE629" s="2"/>
      <c r="AF629" s="2"/>
      <c r="AG629" s="2"/>
      <c r="AH629" s="2"/>
      <c r="AI629" s="2"/>
      <c r="AJ629" s="2"/>
      <c r="AK629" s="2"/>
    </row>
    <row r="630" spans="1:37" ht="12.75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  <c r="AC630" s="2"/>
      <c r="AD630" s="2"/>
      <c r="AE630" s="2"/>
      <c r="AF630" s="2"/>
      <c r="AG630" s="2"/>
      <c r="AH630" s="2"/>
      <c r="AI630" s="2"/>
      <c r="AJ630" s="2"/>
      <c r="AK630" s="2"/>
    </row>
    <row r="631" spans="1:37" ht="12.75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  <c r="AC631" s="2"/>
      <c r="AD631" s="2"/>
      <c r="AE631" s="2"/>
      <c r="AF631" s="2"/>
      <c r="AG631" s="2"/>
      <c r="AH631" s="2"/>
      <c r="AI631" s="2"/>
      <c r="AJ631" s="2"/>
      <c r="AK631" s="2"/>
    </row>
    <row r="632" spans="1:37" ht="12.75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  <c r="AC632" s="2"/>
      <c r="AD632" s="2"/>
      <c r="AE632" s="2"/>
      <c r="AF632" s="2"/>
      <c r="AG632" s="2"/>
      <c r="AH632" s="2"/>
      <c r="AI632" s="2"/>
      <c r="AJ632" s="2"/>
      <c r="AK632" s="2"/>
    </row>
    <row r="633" spans="1:37" ht="12.75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  <c r="AC633" s="2"/>
      <c r="AD633" s="2"/>
      <c r="AE633" s="2"/>
      <c r="AF633" s="2"/>
      <c r="AG633" s="2"/>
      <c r="AH633" s="2"/>
      <c r="AI633" s="2"/>
      <c r="AJ633" s="2"/>
      <c r="AK633" s="2"/>
    </row>
    <row r="634" spans="1:37" ht="12.75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  <c r="AC634" s="2"/>
      <c r="AD634" s="2"/>
      <c r="AE634" s="2"/>
      <c r="AF634" s="2"/>
      <c r="AG634" s="2"/>
      <c r="AH634" s="2"/>
      <c r="AI634" s="2"/>
      <c r="AJ634" s="2"/>
      <c r="AK634" s="2"/>
    </row>
    <row r="635" spans="1:37" ht="12.7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  <c r="AC635" s="2"/>
      <c r="AD635" s="2"/>
      <c r="AE635" s="2"/>
      <c r="AF635" s="2"/>
      <c r="AG635" s="2"/>
      <c r="AH635" s="2"/>
      <c r="AI635" s="2"/>
      <c r="AJ635" s="2"/>
      <c r="AK635" s="2"/>
    </row>
    <row r="636" spans="1:37" ht="12.75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  <c r="AC636" s="2"/>
      <c r="AD636" s="2"/>
      <c r="AE636" s="2"/>
      <c r="AF636" s="2"/>
      <c r="AG636" s="2"/>
      <c r="AH636" s="2"/>
      <c r="AI636" s="2"/>
      <c r="AJ636" s="2"/>
      <c r="AK636" s="2"/>
    </row>
    <row r="637" spans="1:37" ht="12.75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  <c r="AC637" s="2"/>
      <c r="AD637" s="2"/>
      <c r="AE637" s="2"/>
      <c r="AF637" s="2"/>
      <c r="AG637" s="2"/>
      <c r="AH637" s="2"/>
      <c r="AI637" s="2"/>
      <c r="AJ637" s="2"/>
      <c r="AK637" s="2"/>
    </row>
    <row r="638" spans="1:37" ht="12.75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  <c r="AC638" s="2"/>
      <c r="AD638" s="2"/>
      <c r="AE638" s="2"/>
      <c r="AF638" s="2"/>
      <c r="AG638" s="2"/>
      <c r="AH638" s="2"/>
      <c r="AI638" s="2"/>
      <c r="AJ638" s="2"/>
      <c r="AK638" s="2"/>
    </row>
    <row r="639" spans="1:37" ht="12.75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  <c r="AC639" s="2"/>
      <c r="AD639" s="2"/>
      <c r="AE639" s="2"/>
      <c r="AF639" s="2"/>
      <c r="AG639" s="2"/>
      <c r="AH639" s="2"/>
      <c r="AI639" s="2"/>
      <c r="AJ639" s="2"/>
      <c r="AK639" s="2"/>
    </row>
    <row r="640" spans="1:37" ht="12.75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  <c r="AC640" s="2"/>
      <c r="AD640" s="2"/>
      <c r="AE640" s="2"/>
      <c r="AF640" s="2"/>
      <c r="AG640" s="2"/>
      <c r="AH640" s="2"/>
      <c r="AI640" s="2"/>
      <c r="AJ640" s="2"/>
      <c r="AK640" s="2"/>
    </row>
    <row r="641" spans="1:37" ht="12.75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  <c r="AC641" s="2"/>
      <c r="AD641" s="2"/>
      <c r="AE641" s="2"/>
      <c r="AF641" s="2"/>
      <c r="AG641" s="2"/>
      <c r="AH641" s="2"/>
      <c r="AI641" s="2"/>
      <c r="AJ641" s="2"/>
      <c r="AK641" s="2"/>
    </row>
    <row r="642" spans="1:37" ht="12.75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  <c r="AC642" s="2"/>
      <c r="AD642" s="2"/>
      <c r="AE642" s="2"/>
      <c r="AF642" s="2"/>
      <c r="AG642" s="2"/>
      <c r="AH642" s="2"/>
      <c r="AI642" s="2"/>
      <c r="AJ642" s="2"/>
      <c r="AK642" s="2"/>
    </row>
    <row r="643" spans="1:37" ht="12.75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  <c r="AC643" s="2"/>
      <c r="AD643" s="2"/>
      <c r="AE643" s="2"/>
      <c r="AF643" s="2"/>
      <c r="AG643" s="2"/>
      <c r="AH643" s="2"/>
      <c r="AI643" s="2"/>
      <c r="AJ643" s="2"/>
      <c r="AK643" s="2"/>
    </row>
    <row r="644" spans="1:37" ht="12.75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  <c r="AC644" s="2"/>
      <c r="AD644" s="2"/>
      <c r="AE644" s="2"/>
      <c r="AF644" s="2"/>
      <c r="AG644" s="2"/>
      <c r="AH644" s="2"/>
      <c r="AI644" s="2"/>
      <c r="AJ644" s="2"/>
      <c r="AK644" s="2"/>
    </row>
    <row r="645" spans="1:37" ht="12.7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  <c r="AC645" s="2"/>
      <c r="AD645" s="2"/>
      <c r="AE645" s="2"/>
      <c r="AF645" s="2"/>
      <c r="AG645" s="2"/>
      <c r="AH645" s="2"/>
      <c r="AI645" s="2"/>
      <c r="AJ645" s="2"/>
      <c r="AK645" s="2"/>
    </row>
    <row r="646" spans="1:37" ht="12.75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  <c r="AC646" s="2"/>
      <c r="AD646" s="2"/>
      <c r="AE646" s="2"/>
      <c r="AF646" s="2"/>
      <c r="AG646" s="2"/>
      <c r="AH646" s="2"/>
      <c r="AI646" s="2"/>
      <c r="AJ646" s="2"/>
      <c r="AK646" s="2"/>
    </row>
    <row r="647" spans="1:37" ht="12.75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  <c r="AC647" s="2"/>
      <c r="AD647" s="2"/>
      <c r="AE647" s="2"/>
      <c r="AF647" s="2"/>
      <c r="AG647" s="2"/>
      <c r="AH647" s="2"/>
      <c r="AI647" s="2"/>
      <c r="AJ647" s="2"/>
      <c r="AK647" s="2"/>
    </row>
    <row r="648" spans="1:37" ht="12.75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  <c r="AC648" s="2"/>
      <c r="AD648" s="2"/>
      <c r="AE648" s="2"/>
      <c r="AF648" s="2"/>
      <c r="AG648" s="2"/>
      <c r="AH648" s="2"/>
      <c r="AI648" s="2"/>
      <c r="AJ648" s="2"/>
      <c r="AK648" s="2"/>
    </row>
    <row r="649" spans="1:37" ht="12.75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  <c r="AC649" s="2"/>
      <c r="AD649" s="2"/>
      <c r="AE649" s="2"/>
      <c r="AF649" s="2"/>
      <c r="AG649" s="2"/>
      <c r="AH649" s="2"/>
      <c r="AI649" s="2"/>
      <c r="AJ649" s="2"/>
      <c r="AK649" s="2"/>
    </row>
    <row r="650" spans="1:37" ht="12.75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  <c r="AC650" s="2"/>
      <c r="AD650" s="2"/>
      <c r="AE650" s="2"/>
      <c r="AF650" s="2"/>
      <c r="AG650" s="2"/>
      <c r="AH650" s="2"/>
      <c r="AI650" s="2"/>
      <c r="AJ650" s="2"/>
      <c r="AK650" s="2"/>
    </row>
    <row r="651" spans="1:37" ht="12.75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  <c r="AC651" s="2"/>
      <c r="AD651" s="2"/>
      <c r="AE651" s="2"/>
      <c r="AF651" s="2"/>
      <c r="AG651" s="2"/>
      <c r="AH651" s="2"/>
      <c r="AI651" s="2"/>
      <c r="AJ651" s="2"/>
      <c r="AK651" s="2"/>
    </row>
    <row r="652" spans="1:37" ht="12.75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  <c r="AC652" s="2"/>
      <c r="AD652" s="2"/>
      <c r="AE652" s="2"/>
      <c r="AF652" s="2"/>
      <c r="AG652" s="2"/>
      <c r="AH652" s="2"/>
      <c r="AI652" s="2"/>
      <c r="AJ652" s="2"/>
      <c r="AK652" s="2"/>
    </row>
    <row r="653" spans="1:37" ht="12.75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  <c r="AC653" s="2"/>
      <c r="AD653" s="2"/>
      <c r="AE653" s="2"/>
      <c r="AF653" s="2"/>
      <c r="AG653" s="2"/>
      <c r="AH653" s="2"/>
      <c r="AI653" s="2"/>
      <c r="AJ653" s="2"/>
      <c r="AK653" s="2"/>
    </row>
    <row r="654" spans="1:37" ht="12.75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  <c r="AC654" s="2"/>
      <c r="AD654" s="2"/>
      <c r="AE654" s="2"/>
      <c r="AF654" s="2"/>
      <c r="AG654" s="2"/>
      <c r="AH654" s="2"/>
      <c r="AI654" s="2"/>
      <c r="AJ654" s="2"/>
      <c r="AK654" s="2"/>
    </row>
    <row r="655" spans="1:37" ht="12.7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  <c r="AC655" s="2"/>
      <c r="AD655" s="2"/>
      <c r="AE655" s="2"/>
      <c r="AF655" s="2"/>
      <c r="AG655" s="2"/>
      <c r="AH655" s="2"/>
      <c r="AI655" s="2"/>
      <c r="AJ655" s="2"/>
      <c r="AK655" s="2"/>
    </row>
    <row r="656" spans="1:37" ht="12.75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  <c r="AC656" s="2"/>
      <c r="AD656" s="2"/>
      <c r="AE656" s="2"/>
      <c r="AF656" s="2"/>
      <c r="AG656" s="2"/>
      <c r="AH656" s="2"/>
      <c r="AI656" s="2"/>
      <c r="AJ656" s="2"/>
      <c r="AK656" s="2"/>
    </row>
    <row r="657" spans="1:37" ht="12.75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  <c r="AC657" s="2"/>
      <c r="AD657" s="2"/>
      <c r="AE657" s="2"/>
      <c r="AF657" s="2"/>
      <c r="AG657" s="2"/>
      <c r="AH657" s="2"/>
      <c r="AI657" s="2"/>
      <c r="AJ657" s="2"/>
      <c r="AK657" s="2"/>
    </row>
    <row r="658" spans="1:37" ht="12.75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  <c r="AC658" s="2"/>
      <c r="AD658" s="2"/>
      <c r="AE658" s="2"/>
      <c r="AF658" s="2"/>
      <c r="AG658" s="2"/>
      <c r="AH658" s="2"/>
      <c r="AI658" s="2"/>
      <c r="AJ658" s="2"/>
      <c r="AK658" s="2"/>
    </row>
    <row r="659" spans="1:37" ht="12.75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  <c r="AC659" s="2"/>
      <c r="AD659" s="2"/>
      <c r="AE659" s="2"/>
      <c r="AF659" s="2"/>
      <c r="AG659" s="2"/>
      <c r="AH659" s="2"/>
      <c r="AI659" s="2"/>
      <c r="AJ659" s="2"/>
      <c r="AK659" s="2"/>
    </row>
    <row r="660" spans="1:37" ht="12.75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  <c r="AC660" s="2"/>
      <c r="AD660" s="2"/>
      <c r="AE660" s="2"/>
      <c r="AF660" s="2"/>
      <c r="AG660" s="2"/>
      <c r="AH660" s="2"/>
      <c r="AI660" s="2"/>
      <c r="AJ660" s="2"/>
      <c r="AK660" s="2"/>
    </row>
    <row r="661" spans="1:37" ht="12.75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  <c r="AC661" s="2"/>
      <c r="AD661" s="2"/>
      <c r="AE661" s="2"/>
      <c r="AF661" s="2"/>
      <c r="AG661" s="2"/>
      <c r="AH661" s="2"/>
      <c r="AI661" s="2"/>
      <c r="AJ661" s="2"/>
      <c r="AK661" s="2"/>
    </row>
    <row r="662" spans="1:37" ht="12.75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  <c r="AC662" s="2"/>
      <c r="AD662" s="2"/>
      <c r="AE662" s="2"/>
      <c r="AF662" s="2"/>
      <c r="AG662" s="2"/>
      <c r="AH662" s="2"/>
      <c r="AI662" s="2"/>
      <c r="AJ662" s="2"/>
      <c r="AK662" s="2"/>
    </row>
    <row r="663" spans="1:37" ht="12.75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  <c r="AC663" s="2"/>
      <c r="AD663" s="2"/>
      <c r="AE663" s="2"/>
      <c r="AF663" s="2"/>
      <c r="AG663" s="2"/>
      <c r="AH663" s="2"/>
      <c r="AI663" s="2"/>
      <c r="AJ663" s="2"/>
      <c r="AK663" s="2"/>
    </row>
    <row r="664" spans="1:37" ht="12.75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  <c r="AC664" s="2"/>
      <c r="AD664" s="2"/>
      <c r="AE664" s="2"/>
      <c r="AF664" s="2"/>
      <c r="AG664" s="2"/>
      <c r="AH664" s="2"/>
      <c r="AI664" s="2"/>
      <c r="AJ664" s="2"/>
      <c r="AK664" s="2"/>
    </row>
    <row r="665" spans="1:37" ht="12.7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  <c r="AC665" s="2"/>
      <c r="AD665" s="2"/>
      <c r="AE665" s="2"/>
      <c r="AF665" s="2"/>
      <c r="AG665" s="2"/>
      <c r="AH665" s="2"/>
      <c r="AI665" s="2"/>
      <c r="AJ665" s="2"/>
      <c r="AK665" s="2"/>
    </row>
    <row r="666" spans="1:37" ht="12.75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  <c r="AC666" s="2"/>
      <c r="AD666" s="2"/>
      <c r="AE666" s="2"/>
      <c r="AF666" s="2"/>
      <c r="AG666" s="2"/>
      <c r="AH666" s="2"/>
      <c r="AI666" s="2"/>
      <c r="AJ666" s="2"/>
      <c r="AK666" s="2"/>
    </row>
    <row r="667" spans="1:37" ht="12.75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  <c r="AC667" s="2"/>
      <c r="AD667" s="2"/>
      <c r="AE667" s="2"/>
      <c r="AF667" s="2"/>
      <c r="AG667" s="2"/>
      <c r="AH667" s="2"/>
      <c r="AI667" s="2"/>
      <c r="AJ667" s="2"/>
      <c r="AK667" s="2"/>
    </row>
    <row r="668" spans="1:37" ht="12.75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  <c r="AC668" s="2"/>
      <c r="AD668" s="2"/>
      <c r="AE668" s="2"/>
      <c r="AF668" s="2"/>
      <c r="AG668" s="2"/>
      <c r="AH668" s="2"/>
      <c r="AI668" s="2"/>
      <c r="AJ668" s="2"/>
      <c r="AK668" s="2"/>
    </row>
    <row r="669" spans="1:37" ht="12.75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  <c r="AC669" s="2"/>
      <c r="AD669" s="2"/>
      <c r="AE669" s="2"/>
      <c r="AF669" s="2"/>
      <c r="AG669" s="2"/>
      <c r="AH669" s="2"/>
      <c r="AI669" s="2"/>
      <c r="AJ669" s="2"/>
      <c r="AK669" s="2"/>
    </row>
    <row r="670" spans="1:37" ht="12.75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  <c r="AC670" s="2"/>
      <c r="AD670" s="2"/>
      <c r="AE670" s="2"/>
      <c r="AF670" s="2"/>
      <c r="AG670" s="2"/>
      <c r="AH670" s="2"/>
      <c r="AI670" s="2"/>
      <c r="AJ670" s="2"/>
      <c r="AK670" s="2"/>
    </row>
    <row r="671" spans="1:37" ht="12.75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  <c r="AC671" s="2"/>
      <c r="AD671" s="2"/>
      <c r="AE671" s="2"/>
      <c r="AF671" s="2"/>
      <c r="AG671" s="2"/>
      <c r="AH671" s="2"/>
      <c r="AI671" s="2"/>
      <c r="AJ671" s="2"/>
      <c r="AK671" s="2"/>
    </row>
    <row r="672" spans="1:37" ht="12.75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  <c r="AC672" s="2"/>
      <c r="AD672" s="2"/>
      <c r="AE672" s="2"/>
      <c r="AF672" s="2"/>
      <c r="AG672" s="2"/>
      <c r="AH672" s="2"/>
      <c r="AI672" s="2"/>
      <c r="AJ672" s="2"/>
      <c r="AK672" s="2"/>
    </row>
    <row r="673" spans="1:37" ht="12.75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  <c r="AC673" s="2"/>
      <c r="AD673" s="2"/>
      <c r="AE673" s="2"/>
      <c r="AF673" s="2"/>
      <c r="AG673" s="2"/>
      <c r="AH673" s="2"/>
      <c r="AI673" s="2"/>
      <c r="AJ673" s="2"/>
      <c r="AK673" s="2"/>
    </row>
    <row r="674" spans="1:37" ht="12.75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  <c r="AC674" s="2"/>
      <c r="AD674" s="2"/>
      <c r="AE674" s="2"/>
      <c r="AF674" s="2"/>
      <c r="AG674" s="2"/>
      <c r="AH674" s="2"/>
      <c r="AI674" s="2"/>
      <c r="AJ674" s="2"/>
      <c r="AK674" s="2"/>
    </row>
    <row r="675" spans="1:37" ht="12.7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  <c r="AC675" s="2"/>
      <c r="AD675" s="2"/>
      <c r="AE675" s="2"/>
      <c r="AF675" s="2"/>
      <c r="AG675" s="2"/>
      <c r="AH675" s="2"/>
      <c r="AI675" s="2"/>
      <c r="AJ675" s="2"/>
      <c r="AK675" s="2"/>
    </row>
    <row r="676" spans="1:37" ht="12.75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  <c r="AC676" s="2"/>
      <c r="AD676" s="2"/>
      <c r="AE676" s="2"/>
      <c r="AF676" s="2"/>
      <c r="AG676" s="2"/>
      <c r="AH676" s="2"/>
      <c r="AI676" s="2"/>
      <c r="AJ676" s="2"/>
      <c r="AK676" s="2"/>
    </row>
    <row r="677" spans="1:37" ht="12.75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  <c r="AC677" s="2"/>
      <c r="AD677" s="2"/>
      <c r="AE677" s="2"/>
      <c r="AF677" s="2"/>
      <c r="AG677" s="2"/>
      <c r="AH677" s="2"/>
      <c r="AI677" s="2"/>
      <c r="AJ677" s="2"/>
      <c r="AK677" s="2"/>
    </row>
    <row r="678" spans="1:37" ht="12.75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  <c r="AC678" s="2"/>
      <c r="AD678" s="2"/>
      <c r="AE678" s="2"/>
      <c r="AF678" s="2"/>
      <c r="AG678" s="2"/>
      <c r="AH678" s="2"/>
      <c r="AI678" s="2"/>
      <c r="AJ678" s="2"/>
      <c r="AK678" s="2"/>
    </row>
    <row r="679" spans="1:37" ht="12.75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  <c r="AC679" s="2"/>
      <c r="AD679" s="2"/>
      <c r="AE679" s="2"/>
      <c r="AF679" s="2"/>
      <c r="AG679" s="2"/>
      <c r="AH679" s="2"/>
      <c r="AI679" s="2"/>
      <c r="AJ679" s="2"/>
      <c r="AK679" s="2"/>
    </row>
    <row r="680" spans="1:37" ht="12.75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  <c r="AC680" s="2"/>
      <c r="AD680" s="2"/>
      <c r="AE680" s="2"/>
      <c r="AF680" s="2"/>
      <c r="AG680" s="2"/>
      <c r="AH680" s="2"/>
      <c r="AI680" s="2"/>
      <c r="AJ680" s="2"/>
      <c r="AK680" s="2"/>
    </row>
    <row r="681" spans="1:37" ht="12.75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  <c r="AC681" s="2"/>
      <c r="AD681" s="2"/>
      <c r="AE681" s="2"/>
      <c r="AF681" s="2"/>
      <c r="AG681" s="2"/>
      <c r="AH681" s="2"/>
      <c r="AI681" s="2"/>
      <c r="AJ681" s="2"/>
      <c r="AK681" s="2"/>
    </row>
    <row r="682" spans="1:37" ht="12.75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  <c r="AC682" s="2"/>
      <c r="AD682" s="2"/>
      <c r="AE682" s="2"/>
      <c r="AF682" s="2"/>
      <c r="AG682" s="2"/>
      <c r="AH682" s="2"/>
      <c r="AI682" s="2"/>
      <c r="AJ682" s="2"/>
      <c r="AK682" s="2"/>
    </row>
    <row r="683" spans="1:37" ht="12.75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  <c r="AC683" s="2"/>
      <c r="AD683" s="2"/>
      <c r="AE683" s="2"/>
      <c r="AF683" s="2"/>
      <c r="AG683" s="2"/>
      <c r="AH683" s="2"/>
      <c r="AI683" s="2"/>
      <c r="AJ683" s="2"/>
      <c r="AK683" s="2"/>
    </row>
    <row r="684" spans="1:37" ht="12.75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  <c r="AC684" s="2"/>
      <c r="AD684" s="2"/>
      <c r="AE684" s="2"/>
      <c r="AF684" s="2"/>
      <c r="AG684" s="2"/>
      <c r="AH684" s="2"/>
      <c r="AI684" s="2"/>
      <c r="AJ684" s="2"/>
      <c r="AK684" s="2"/>
    </row>
    <row r="685" spans="1:37" ht="12.7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  <c r="AC685" s="2"/>
      <c r="AD685" s="2"/>
      <c r="AE685" s="2"/>
      <c r="AF685" s="2"/>
      <c r="AG685" s="2"/>
      <c r="AH685" s="2"/>
      <c r="AI685" s="2"/>
      <c r="AJ685" s="2"/>
      <c r="AK685" s="2"/>
    </row>
    <row r="686" spans="1:37" ht="12.75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  <c r="AC686" s="2"/>
      <c r="AD686" s="2"/>
      <c r="AE686" s="2"/>
      <c r="AF686" s="2"/>
      <c r="AG686" s="2"/>
      <c r="AH686" s="2"/>
      <c r="AI686" s="2"/>
      <c r="AJ686" s="2"/>
      <c r="AK686" s="2"/>
    </row>
    <row r="687" spans="1:37" ht="12.75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  <c r="AC687" s="2"/>
      <c r="AD687" s="2"/>
      <c r="AE687" s="2"/>
      <c r="AF687" s="2"/>
      <c r="AG687" s="2"/>
      <c r="AH687" s="2"/>
      <c r="AI687" s="2"/>
      <c r="AJ687" s="2"/>
      <c r="AK687" s="2"/>
    </row>
    <row r="688" spans="1:37" ht="12.75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  <c r="AC688" s="2"/>
      <c r="AD688" s="2"/>
      <c r="AE688" s="2"/>
      <c r="AF688" s="2"/>
      <c r="AG688" s="2"/>
      <c r="AH688" s="2"/>
      <c r="AI688" s="2"/>
      <c r="AJ688" s="2"/>
      <c r="AK688" s="2"/>
    </row>
    <row r="689" spans="1:37" ht="12.75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  <c r="AC689" s="2"/>
      <c r="AD689" s="2"/>
      <c r="AE689" s="2"/>
      <c r="AF689" s="2"/>
      <c r="AG689" s="2"/>
      <c r="AH689" s="2"/>
      <c r="AI689" s="2"/>
      <c r="AJ689" s="2"/>
      <c r="AK689" s="2"/>
    </row>
    <row r="690" spans="1:37" ht="12.75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  <c r="AC690" s="2"/>
      <c r="AD690" s="2"/>
      <c r="AE690" s="2"/>
      <c r="AF690" s="2"/>
      <c r="AG690" s="2"/>
      <c r="AH690" s="2"/>
      <c r="AI690" s="2"/>
      <c r="AJ690" s="2"/>
      <c r="AK690" s="2"/>
    </row>
    <row r="691" spans="1:37" ht="12.75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  <c r="AC691" s="2"/>
      <c r="AD691" s="2"/>
      <c r="AE691" s="2"/>
      <c r="AF691" s="2"/>
      <c r="AG691" s="2"/>
      <c r="AH691" s="2"/>
      <c r="AI691" s="2"/>
      <c r="AJ691" s="2"/>
      <c r="AK691" s="2"/>
    </row>
    <row r="692" spans="1:37" ht="12.75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  <c r="AC692" s="2"/>
      <c r="AD692" s="2"/>
      <c r="AE692" s="2"/>
      <c r="AF692" s="2"/>
      <c r="AG692" s="2"/>
      <c r="AH692" s="2"/>
      <c r="AI692" s="2"/>
      <c r="AJ692" s="2"/>
      <c r="AK692" s="2"/>
    </row>
    <row r="693" spans="1:37" ht="12.75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  <c r="AC693" s="2"/>
      <c r="AD693" s="2"/>
      <c r="AE693" s="2"/>
      <c r="AF693" s="2"/>
      <c r="AG693" s="2"/>
      <c r="AH693" s="2"/>
      <c r="AI693" s="2"/>
      <c r="AJ693" s="2"/>
      <c r="AK693" s="2"/>
    </row>
    <row r="694" spans="1:37" ht="12.75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  <c r="AC694" s="2"/>
      <c r="AD694" s="2"/>
      <c r="AE694" s="2"/>
      <c r="AF694" s="2"/>
      <c r="AG694" s="2"/>
      <c r="AH694" s="2"/>
      <c r="AI694" s="2"/>
      <c r="AJ694" s="2"/>
      <c r="AK694" s="2"/>
    </row>
    <row r="695" spans="1:37" ht="12.7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  <c r="AC695" s="2"/>
      <c r="AD695" s="2"/>
      <c r="AE695" s="2"/>
      <c r="AF695" s="2"/>
      <c r="AG695" s="2"/>
      <c r="AH695" s="2"/>
      <c r="AI695" s="2"/>
      <c r="AJ695" s="2"/>
      <c r="AK695" s="2"/>
    </row>
    <row r="696" spans="1:37" ht="12.75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  <c r="AC696" s="2"/>
      <c r="AD696" s="2"/>
      <c r="AE696" s="2"/>
      <c r="AF696" s="2"/>
      <c r="AG696" s="2"/>
      <c r="AH696" s="2"/>
      <c r="AI696" s="2"/>
      <c r="AJ696" s="2"/>
      <c r="AK696" s="2"/>
    </row>
    <row r="697" spans="1:37" ht="12.75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  <c r="AC697" s="2"/>
      <c r="AD697" s="2"/>
      <c r="AE697" s="2"/>
      <c r="AF697" s="2"/>
      <c r="AG697" s="2"/>
      <c r="AH697" s="2"/>
      <c r="AI697" s="2"/>
      <c r="AJ697" s="2"/>
      <c r="AK697" s="2"/>
    </row>
    <row r="698" spans="1:37" ht="12.75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  <c r="AC698" s="2"/>
      <c r="AD698" s="2"/>
      <c r="AE698" s="2"/>
      <c r="AF698" s="2"/>
      <c r="AG698" s="2"/>
      <c r="AH698" s="2"/>
      <c r="AI698" s="2"/>
      <c r="AJ698" s="2"/>
      <c r="AK698" s="2"/>
    </row>
    <row r="699" spans="1:37" ht="12.75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  <c r="AC699" s="2"/>
      <c r="AD699" s="2"/>
      <c r="AE699" s="2"/>
      <c r="AF699" s="2"/>
      <c r="AG699" s="2"/>
      <c r="AH699" s="2"/>
      <c r="AI699" s="2"/>
      <c r="AJ699" s="2"/>
      <c r="AK699" s="2"/>
    </row>
    <row r="700" spans="1:37" ht="12.75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  <c r="AC700" s="2"/>
      <c r="AD700" s="2"/>
      <c r="AE700" s="2"/>
      <c r="AF700" s="2"/>
      <c r="AG700" s="2"/>
      <c r="AH700" s="2"/>
      <c r="AI700" s="2"/>
      <c r="AJ700" s="2"/>
      <c r="AK700" s="2"/>
    </row>
    <row r="701" spans="1:37" ht="12.75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  <c r="AC701" s="2"/>
      <c r="AD701" s="2"/>
      <c r="AE701" s="2"/>
      <c r="AF701" s="2"/>
      <c r="AG701" s="2"/>
      <c r="AH701" s="2"/>
      <c r="AI701" s="2"/>
      <c r="AJ701" s="2"/>
      <c r="AK701" s="2"/>
    </row>
    <row r="702" spans="1:37" ht="12.75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  <c r="AC702" s="2"/>
      <c r="AD702" s="2"/>
      <c r="AE702" s="2"/>
      <c r="AF702" s="2"/>
      <c r="AG702" s="2"/>
      <c r="AH702" s="2"/>
      <c r="AI702" s="2"/>
      <c r="AJ702" s="2"/>
      <c r="AK702" s="2"/>
    </row>
    <row r="703" spans="1:37" ht="12.75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  <c r="AC703" s="2"/>
      <c r="AD703" s="2"/>
      <c r="AE703" s="2"/>
      <c r="AF703" s="2"/>
      <c r="AG703" s="2"/>
      <c r="AH703" s="2"/>
      <c r="AI703" s="2"/>
      <c r="AJ703" s="2"/>
      <c r="AK703" s="2"/>
    </row>
    <row r="704" spans="1:37" ht="12.75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  <c r="AC704" s="2"/>
      <c r="AD704" s="2"/>
      <c r="AE704" s="2"/>
      <c r="AF704" s="2"/>
      <c r="AG704" s="2"/>
      <c r="AH704" s="2"/>
      <c r="AI704" s="2"/>
      <c r="AJ704" s="2"/>
      <c r="AK704" s="2"/>
    </row>
    <row r="705" spans="1:37" ht="12.7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  <c r="AC705" s="2"/>
      <c r="AD705" s="2"/>
      <c r="AE705" s="2"/>
      <c r="AF705" s="2"/>
      <c r="AG705" s="2"/>
      <c r="AH705" s="2"/>
      <c r="AI705" s="2"/>
      <c r="AJ705" s="2"/>
      <c r="AK705" s="2"/>
    </row>
    <row r="706" spans="1:37" ht="12.75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  <c r="AC706" s="2"/>
      <c r="AD706" s="2"/>
      <c r="AE706" s="2"/>
      <c r="AF706" s="2"/>
      <c r="AG706" s="2"/>
      <c r="AH706" s="2"/>
      <c r="AI706" s="2"/>
      <c r="AJ706" s="2"/>
      <c r="AK706" s="2"/>
    </row>
    <row r="707" spans="1:37" ht="12.75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  <c r="AC707" s="2"/>
      <c r="AD707" s="2"/>
      <c r="AE707" s="2"/>
      <c r="AF707" s="2"/>
      <c r="AG707" s="2"/>
      <c r="AH707" s="2"/>
      <c r="AI707" s="2"/>
      <c r="AJ707" s="2"/>
      <c r="AK707" s="2"/>
    </row>
    <row r="708" spans="1:37" ht="12.75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  <c r="AC708" s="2"/>
      <c r="AD708" s="2"/>
      <c r="AE708" s="2"/>
      <c r="AF708" s="2"/>
      <c r="AG708" s="2"/>
      <c r="AH708" s="2"/>
      <c r="AI708" s="2"/>
      <c r="AJ708" s="2"/>
      <c r="AK708" s="2"/>
    </row>
    <row r="709" spans="1:37" ht="12.75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  <c r="AC709" s="2"/>
      <c r="AD709" s="2"/>
      <c r="AE709" s="2"/>
      <c r="AF709" s="2"/>
      <c r="AG709" s="2"/>
      <c r="AH709" s="2"/>
      <c r="AI709" s="2"/>
      <c r="AJ709" s="2"/>
      <c r="AK709" s="2"/>
    </row>
    <row r="710" spans="1:37" ht="12.75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  <c r="AC710" s="2"/>
      <c r="AD710" s="2"/>
      <c r="AE710" s="2"/>
      <c r="AF710" s="2"/>
      <c r="AG710" s="2"/>
      <c r="AH710" s="2"/>
      <c r="AI710" s="2"/>
      <c r="AJ710" s="2"/>
      <c r="AK710" s="2"/>
    </row>
    <row r="711" spans="1:37" ht="12.75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  <c r="AC711" s="2"/>
      <c r="AD711" s="2"/>
      <c r="AE711" s="2"/>
      <c r="AF711" s="2"/>
      <c r="AG711" s="2"/>
      <c r="AH711" s="2"/>
      <c r="AI711" s="2"/>
      <c r="AJ711" s="2"/>
      <c r="AK711" s="2"/>
    </row>
    <row r="712" spans="1:37" ht="12.75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  <c r="AC712" s="2"/>
      <c r="AD712" s="2"/>
      <c r="AE712" s="2"/>
      <c r="AF712" s="2"/>
      <c r="AG712" s="2"/>
      <c r="AH712" s="2"/>
      <c r="AI712" s="2"/>
      <c r="AJ712" s="2"/>
      <c r="AK712" s="2"/>
    </row>
    <row r="713" spans="1:37" ht="12.75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  <c r="AC713" s="2"/>
      <c r="AD713" s="2"/>
      <c r="AE713" s="2"/>
      <c r="AF713" s="2"/>
      <c r="AG713" s="2"/>
      <c r="AH713" s="2"/>
      <c r="AI713" s="2"/>
      <c r="AJ713" s="2"/>
      <c r="AK713" s="2"/>
    </row>
    <row r="714" spans="1:37" ht="12.75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  <c r="AC714" s="2"/>
      <c r="AD714" s="2"/>
      <c r="AE714" s="2"/>
      <c r="AF714" s="2"/>
      <c r="AG714" s="2"/>
      <c r="AH714" s="2"/>
      <c r="AI714" s="2"/>
      <c r="AJ714" s="2"/>
      <c r="AK714" s="2"/>
    </row>
    <row r="715" spans="1:37" ht="12.7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  <c r="AC715" s="2"/>
      <c r="AD715" s="2"/>
      <c r="AE715" s="2"/>
      <c r="AF715" s="2"/>
      <c r="AG715" s="2"/>
      <c r="AH715" s="2"/>
      <c r="AI715" s="2"/>
      <c r="AJ715" s="2"/>
      <c r="AK715" s="2"/>
    </row>
    <row r="716" spans="1:37" ht="12.75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  <c r="AC716" s="2"/>
      <c r="AD716" s="2"/>
      <c r="AE716" s="2"/>
      <c r="AF716" s="2"/>
      <c r="AG716" s="2"/>
      <c r="AH716" s="2"/>
      <c r="AI716" s="2"/>
      <c r="AJ716" s="2"/>
      <c r="AK716" s="2"/>
    </row>
    <row r="717" spans="1:37" ht="12.75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  <c r="AC717" s="2"/>
      <c r="AD717" s="2"/>
      <c r="AE717" s="2"/>
      <c r="AF717" s="2"/>
      <c r="AG717" s="2"/>
      <c r="AH717" s="2"/>
      <c r="AI717" s="2"/>
      <c r="AJ717" s="2"/>
      <c r="AK717" s="2"/>
    </row>
    <row r="718" spans="1:37" ht="12.75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  <c r="AC718" s="2"/>
      <c r="AD718" s="2"/>
      <c r="AE718" s="2"/>
      <c r="AF718" s="2"/>
      <c r="AG718" s="2"/>
      <c r="AH718" s="2"/>
      <c r="AI718" s="2"/>
      <c r="AJ718" s="2"/>
      <c r="AK718" s="2"/>
    </row>
    <row r="719" spans="1:37" ht="12.75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  <c r="AC719" s="2"/>
      <c r="AD719" s="2"/>
      <c r="AE719" s="2"/>
      <c r="AF719" s="2"/>
      <c r="AG719" s="2"/>
      <c r="AH719" s="2"/>
      <c r="AI719" s="2"/>
      <c r="AJ719" s="2"/>
      <c r="AK719" s="2"/>
    </row>
    <row r="720" spans="1:37" ht="12.75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  <c r="AC720" s="2"/>
      <c r="AD720" s="2"/>
      <c r="AE720" s="2"/>
      <c r="AF720" s="2"/>
      <c r="AG720" s="2"/>
      <c r="AH720" s="2"/>
      <c r="AI720" s="2"/>
      <c r="AJ720" s="2"/>
      <c r="AK720" s="2"/>
    </row>
    <row r="721" spans="1:37" ht="12.75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  <c r="AC721" s="2"/>
      <c r="AD721" s="2"/>
      <c r="AE721" s="2"/>
      <c r="AF721" s="2"/>
      <c r="AG721" s="2"/>
      <c r="AH721" s="2"/>
      <c r="AI721" s="2"/>
      <c r="AJ721" s="2"/>
      <c r="AK721" s="2"/>
    </row>
    <row r="722" spans="1:37" ht="12.75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  <c r="AC722" s="2"/>
      <c r="AD722" s="2"/>
      <c r="AE722" s="2"/>
      <c r="AF722" s="2"/>
      <c r="AG722" s="2"/>
      <c r="AH722" s="2"/>
      <c r="AI722" s="2"/>
      <c r="AJ722" s="2"/>
      <c r="AK722" s="2"/>
    </row>
    <row r="723" spans="1:37" ht="12.75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  <c r="AC723" s="2"/>
      <c r="AD723" s="2"/>
      <c r="AE723" s="2"/>
      <c r="AF723" s="2"/>
      <c r="AG723" s="2"/>
      <c r="AH723" s="2"/>
      <c r="AI723" s="2"/>
      <c r="AJ723" s="2"/>
      <c r="AK723" s="2"/>
    </row>
    <row r="724" spans="1:37" ht="12.75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  <c r="AC724" s="2"/>
      <c r="AD724" s="2"/>
      <c r="AE724" s="2"/>
      <c r="AF724" s="2"/>
      <c r="AG724" s="2"/>
      <c r="AH724" s="2"/>
      <c r="AI724" s="2"/>
      <c r="AJ724" s="2"/>
      <c r="AK724" s="2"/>
    </row>
    <row r="725" spans="1:37" ht="12.7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  <c r="AC725" s="2"/>
      <c r="AD725" s="2"/>
      <c r="AE725" s="2"/>
      <c r="AF725" s="2"/>
      <c r="AG725" s="2"/>
      <c r="AH725" s="2"/>
      <c r="AI725" s="2"/>
      <c r="AJ725" s="2"/>
      <c r="AK725" s="2"/>
    </row>
    <row r="726" spans="1:37" ht="12.75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  <c r="AC726" s="2"/>
      <c r="AD726" s="2"/>
      <c r="AE726" s="2"/>
      <c r="AF726" s="2"/>
      <c r="AG726" s="2"/>
      <c r="AH726" s="2"/>
      <c r="AI726" s="2"/>
      <c r="AJ726" s="2"/>
      <c r="AK726" s="2"/>
    </row>
    <row r="727" spans="1:37" ht="12.75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  <c r="AC727" s="2"/>
      <c r="AD727" s="2"/>
      <c r="AE727" s="2"/>
      <c r="AF727" s="2"/>
      <c r="AG727" s="2"/>
      <c r="AH727" s="2"/>
      <c r="AI727" s="2"/>
      <c r="AJ727" s="2"/>
      <c r="AK727" s="2"/>
    </row>
    <row r="728" spans="1:37" ht="12.75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  <c r="AC728" s="2"/>
      <c r="AD728" s="2"/>
      <c r="AE728" s="2"/>
      <c r="AF728" s="2"/>
      <c r="AG728" s="2"/>
      <c r="AH728" s="2"/>
      <c r="AI728" s="2"/>
      <c r="AJ728" s="2"/>
      <c r="AK728" s="2"/>
    </row>
    <row r="729" spans="1:37" ht="12.75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  <c r="AC729" s="2"/>
      <c r="AD729" s="2"/>
      <c r="AE729" s="2"/>
      <c r="AF729" s="2"/>
      <c r="AG729" s="2"/>
      <c r="AH729" s="2"/>
      <c r="AI729" s="2"/>
      <c r="AJ729" s="2"/>
      <c r="AK729" s="2"/>
    </row>
    <row r="730" spans="1:37" ht="12.75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  <c r="AC730" s="2"/>
      <c r="AD730" s="2"/>
      <c r="AE730" s="2"/>
      <c r="AF730" s="2"/>
      <c r="AG730" s="2"/>
      <c r="AH730" s="2"/>
      <c r="AI730" s="2"/>
      <c r="AJ730" s="2"/>
      <c r="AK730" s="2"/>
    </row>
    <row r="731" spans="1:37" ht="12.75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  <c r="AC731" s="2"/>
      <c r="AD731" s="2"/>
      <c r="AE731" s="2"/>
      <c r="AF731" s="2"/>
      <c r="AG731" s="2"/>
      <c r="AH731" s="2"/>
      <c r="AI731" s="2"/>
      <c r="AJ731" s="2"/>
      <c r="AK731" s="2"/>
    </row>
    <row r="732" spans="1:37" ht="12.75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  <c r="AC732" s="2"/>
      <c r="AD732" s="2"/>
      <c r="AE732" s="2"/>
      <c r="AF732" s="2"/>
      <c r="AG732" s="2"/>
      <c r="AH732" s="2"/>
      <c r="AI732" s="2"/>
      <c r="AJ732" s="2"/>
      <c r="AK732" s="2"/>
    </row>
    <row r="733" spans="1:37" ht="12.75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  <c r="AC733" s="2"/>
      <c r="AD733" s="2"/>
      <c r="AE733" s="2"/>
      <c r="AF733" s="2"/>
      <c r="AG733" s="2"/>
      <c r="AH733" s="2"/>
      <c r="AI733" s="2"/>
      <c r="AJ733" s="2"/>
      <c r="AK733" s="2"/>
    </row>
    <row r="734" spans="1:37" ht="12.75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  <c r="AC734" s="2"/>
      <c r="AD734" s="2"/>
      <c r="AE734" s="2"/>
      <c r="AF734" s="2"/>
      <c r="AG734" s="2"/>
      <c r="AH734" s="2"/>
      <c r="AI734" s="2"/>
      <c r="AJ734" s="2"/>
      <c r="AK734" s="2"/>
    </row>
    <row r="735" spans="1:37" ht="12.7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  <c r="AC735" s="2"/>
      <c r="AD735" s="2"/>
      <c r="AE735" s="2"/>
      <c r="AF735" s="2"/>
      <c r="AG735" s="2"/>
      <c r="AH735" s="2"/>
      <c r="AI735" s="2"/>
      <c r="AJ735" s="2"/>
      <c r="AK735" s="2"/>
    </row>
    <row r="736" spans="1:37" ht="12.75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  <c r="AC736" s="2"/>
      <c r="AD736" s="2"/>
      <c r="AE736" s="2"/>
      <c r="AF736" s="2"/>
      <c r="AG736" s="2"/>
      <c r="AH736" s="2"/>
      <c r="AI736" s="2"/>
      <c r="AJ736" s="2"/>
      <c r="AK736" s="2"/>
    </row>
    <row r="737" spans="1:37" ht="12.75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  <c r="AC737" s="2"/>
      <c r="AD737" s="2"/>
      <c r="AE737" s="2"/>
      <c r="AF737" s="2"/>
      <c r="AG737" s="2"/>
      <c r="AH737" s="2"/>
      <c r="AI737" s="2"/>
      <c r="AJ737" s="2"/>
      <c r="AK737" s="2"/>
    </row>
    <row r="738" spans="1:37" ht="12.75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  <c r="AC738" s="2"/>
      <c r="AD738" s="2"/>
      <c r="AE738" s="2"/>
      <c r="AF738" s="2"/>
      <c r="AG738" s="2"/>
      <c r="AH738" s="2"/>
      <c r="AI738" s="2"/>
      <c r="AJ738" s="2"/>
      <c r="AK738" s="2"/>
    </row>
    <row r="739" spans="1:37" ht="12.75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  <c r="AC739" s="2"/>
      <c r="AD739" s="2"/>
      <c r="AE739" s="2"/>
      <c r="AF739" s="2"/>
      <c r="AG739" s="2"/>
      <c r="AH739" s="2"/>
      <c r="AI739" s="2"/>
      <c r="AJ739" s="2"/>
      <c r="AK739" s="2"/>
    </row>
    <row r="740" spans="1:37" ht="12.75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  <c r="AC740" s="2"/>
      <c r="AD740" s="2"/>
      <c r="AE740" s="2"/>
      <c r="AF740" s="2"/>
      <c r="AG740" s="2"/>
      <c r="AH740" s="2"/>
      <c r="AI740" s="2"/>
      <c r="AJ740" s="2"/>
      <c r="AK740" s="2"/>
    </row>
    <row r="741" spans="1:37" ht="12.75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  <c r="AC741" s="2"/>
      <c r="AD741" s="2"/>
      <c r="AE741" s="2"/>
      <c r="AF741" s="2"/>
      <c r="AG741" s="2"/>
      <c r="AH741" s="2"/>
      <c r="AI741" s="2"/>
      <c r="AJ741" s="2"/>
      <c r="AK741" s="2"/>
    </row>
    <row r="742" spans="1:37" ht="12.75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  <c r="AC742" s="2"/>
      <c r="AD742" s="2"/>
      <c r="AE742" s="2"/>
      <c r="AF742" s="2"/>
      <c r="AG742" s="2"/>
      <c r="AH742" s="2"/>
      <c r="AI742" s="2"/>
      <c r="AJ742" s="2"/>
      <c r="AK742" s="2"/>
    </row>
    <row r="743" spans="1:37" ht="12.75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  <c r="AC743" s="2"/>
      <c r="AD743" s="2"/>
      <c r="AE743" s="2"/>
      <c r="AF743" s="2"/>
      <c r="AG743" s="2"/>
      <c r="AH743" s="2"/>
      <c r="AI743" s="2"/>
      <c r="AJ743" s="2"/>
      <c r="AK743" s="2"/>
    </row>
    <row r="744" spans="1:37" ht="12.75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  <c r="AC744" s="2"/>
      <c r="AD744" s="2"/>
      <c r="AE744" s="2"/>
      <c r="AF744" s="2"/>
      <c r="AG744" s="2"/>
      <c r="AH744" s="2"/>
      <c r="AI744" s="2"/>
      <c r="AJ744" s="2"/>
      <c r="AK744" s="2"/>
    </row>
    <row r="745" spans="1:37" ht="12.7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  <c r="AC745" s="2"/>
      <c r="AD745" s="2"/>
      <c r="AE745" s="2"/>
      <c r="AF745" s="2"/>
      <c r="AG745" s="2"/>
      <c r="AH745" s="2"/>
      <c r="AI745" s="2"/>
      <c r="AJ745" s="2"/>
      <c r="AK745" s="2"/>
    </row>
    <row r="746" spans="1:37" ht="12.75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  <c r="AC746" s="2"/>
      <c r="AD746" s="2"/>
      <c r="AE746" s="2"/>
      <c r="AF746" s="2"/>
      <c r="AG746" s="2"/>
      <c r="AH746" s="2"/>
      <c r="AI746" s="2"/>
      <c r="AJ746" s="2"/>
      <c r="AK746" s="2"/>
    </row>
    <row r="747" spans="1:37" ht="12.75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  <c r="AC747" s="2"/>
      <c r="AD747" s="2"/>
      <c r="AE747" s="2"/>
      <c r="AF747" s="2"/>
      <c r="AG747" s="2"/>
      <c r="AH747" s="2"/>
      <c r="AI747" s="2"/>
      <c r="AJ747" s="2"/>
      <c r="AK747" s="2"/>
    </row>
    <row r="748" spans="1:37" ht="12.75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  <c r="AC748" s="2"/>
      <c r="AD748" s="2"/>
      <c r="AE748" s="2"/>
      <c r="AF748" s="2"/>
      <c r="AG748" s="2"/>
      <c r="AH748" s="2"/>
      <c r="AI748" s="2"/>
      <c r="AJ748" s="2"/>
      <c r="AK748" s="2"/>
    </row>
    <row r="749" spans="1:37" ht="12.75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  <c r="AC749" s="2"/>
      <c r="AD749" s="2"/>
      <c r="AE749" s="2"/>
      <c r="AF749" s="2"/>
      <c r="AG749" s="2"/>
      <c r="AH749" s="2"/>
      <c r="AI749" s="2"/>
      <c r="AJ749" s="2"/>
      <c r="AK749" s="2"/>
    </row>
    <row r="750" spans="1:37" ht="12.75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  <c r="AC750" s="2"/>
      <c r="AD750" s="2"/>
      <c r="AE750" s="2"/>
      <c r="AF750" s="2"/>
      <c r="AG750" s="2"/>
      <c r="AH750" s="2"/>
      <c r="AI750" s="2"/>
      <c r="AJ750" s="2"/>
      <c r="AK750" s="2"/>
    </row>
    <row r="751" spans="1:37" ht="12.75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  <c r="AC751" s="2"/>
      <c r="AD751" s="2"/>
      <c r="AE751" s="2"/>
      <c r="AF751" s="2"/>
      <c r="AG751" s="2"/>
      <c r="AH751" s="2"/>
      <c r="AI751" s="2"/>
      <c r="AJ751" s="2"/>
      <c r="AK751" s="2"/>
    </row>
    <row r="752" spans="1:37" ht="12.75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  <c r="AC752" s="2"/>
      <c r="AD752" s="2"/>
      <c r="AE752" s="2"/>
      <c r="AF752" s="2"/>
      <c r="AG752" s="2"/>
      <c r="AH752" s="2"/>
      <c r="AI752" s="2"/>
      <c r="AJ752" s="2"/>
      <c r="AK752" s="2"/>
    </row>
    <row r="753" spans="1:37" ht="12.75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  <c r="AC753" s="2"/>
      <c r="AD753" s="2"/>
      <c r="AE753" s="2"/>
      <c r="AF753" s="2"/>
      <c r="AG753" s="2"/>
      <c r="AH753" s="2"/>
      <c r="AI753" s="2"/>
      <c r="AJ753" s="2"/>
      <c r="AK753" s="2"/>
    </row>
    <row r="754" spans="1:37" ht="12.75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  <c r="AC754" s="2"/>
      <c r="AD754" s="2"/>
      <c r="AE754" s="2"/>
      <c r="AF754" s="2"/>
      <c r="AG754" s="2"/>
      <c r="AH754" s="2"/>
      <c r="AI754" s="2"/>
      <c r="AJ754" s="2"/>
      <c r="AK754" s="2"/>
    </row>
    <row r="755" spans="1:37" ht="12.7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  <c r="AC755" s="2"/>
      <c r="AD755" s="2"/>
      <c r="AE755" s="2"/>
      <c r="AF755" s="2"/>
      <c r="AG755" s="2"/>
      <c r="AH755" s="2"/>
      <c r="AI755" s="2"/>
      <c r="AJ755" s="2"/>
      <c r="AK755" s="2"/>
    </row>
    <row r="756" spans="1:37" ht="12.75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  <c r="AC756" s="2"/>
      <c r="AD756" s="2"/>
      <c r="AE756" s="2"/>
      <c r="AF756" s="2"/>
      <c r="AG756" s="2"/>
      <c r="AH756" s="2"/>
      <c r="AI756" s="2"/>
      <c r="AJ756" s="2"/>
      <c r="AK756" s="2"/>
    </row>
    <row r="757" spans="1:37" ht="12.75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  <c r="AC757" s="2"/>
      <c r="AD757" s="2"/>
      <c r="AE757" s="2"/>
      <c r="AF757" s="2"/>
      <c r="AG757" s="2"/>
      <c r="AH757" s="2"/>
      <c r="AI757" s="2"/>
      <c r="AJ757" s="2"/>
      <c r="AK757" s="2"/>
    </row>
    <row r="758" spans="1:37" ht="12.75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  <c r="AC758" s="2"/>
      <c r="AD758" s="2"/>
      <c r="AE758" s="2"/>
      <c r="AF758" s="2"/>
      <c r="AG758" s="2"/>
      <c r="AH758" s="2"/>
      <c r="AI758" s="2"/>
      <c r="AJ758" s="2"/>
      <c r="AK758" s="2"/>
    </row>
    <row r="759" spans="1:37" ht="12.75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  <c r="AC759" s="2"/>
      <c r="AD759" s="2"/>
      <c r="AE759" s="2"/>
      <c r="AF759" s="2"/>
      <c r="AG759" s="2"/>
      <c r="AH759" s="2"/>
      <c r="AI759" s="2"/>
      <c r="AJ759" s="2"/>
      <c r="AK759" s="2"/>
    </row>
    <row r="760" spans="1:37" ht="12.75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  <c r="AC760" s="2"/>
      <c r="AD760" s="2"/>
      <c r="AE760" s="2"/>
      <c r="AF760" s="2"/>
      <c r="AG760" s="2"/>
      <c r="AH760" s="2"/>
      <c r="AI760" s="2"/>
      <c r="AJ760" s="2"/>
      <c r="AK760" s="2"/>
    </row>
    <row r="761" spans="1:37" ht="12.75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  <c r="AC761" s="2"/>
      <c r="AD761" s="2"/>
      <c r="AE761" s="2"/>
      <c r="AF761" s="2"/>
      <c r="AG761" s="2"/>
      <c r="AH761" s="2"/>
      <c r="AI761" s="2"/>
      <c r="AJ761" s="2"/>
      <c r="AK761" s="2"/>
    </row>
    <row r="762" spans="1:37" ht="12.75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  <c r="AC762" s="2"/>
      <c r="AD762" s="2"/>
      <c r="AE762" s="2"/>
      <c r="AF762" s="2"/>
      <c r="AG762" s="2"/>
      <c r="AH762" s="2"/>
      <c r="AI762" s="2"/>
      <c r="AJ762" s="2"/>
      <c r="AK762" s="2"/>
    </row>
    <row r="763" spans="1:37" ht="12.75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  <c r="AC763" s="2"/>
      <c r="AD763" s="2"/>
      <c r="AE763" s="2"/>
      <c r="AF763" s="2"/>
      <c r="AG763" s="2"/>
      <c r="AH763" s="2"/>
      <c r="AI763" s="2"/>
      <c r="AJ763" s="2"/>
      <c r="AK763" s="2"/>
    </row>
    <row r="764" spans="1:37" ht="12.75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  <c r="AC764" s="2"/>
      <c r="AD764" s="2"/>
      <c r="AE764" s="2"/>
      <c r="AF764" s="2"/>
      <c r="AG764" s="2"/>
      <c r="AH764" s="2"/>
      <c r="AI764" s="2"/>
      <c r="AJ764" s="2"/>
      <c r="AK764" s="2"/>
    </row>
    <row r="765" spans="1:37" ht="12.7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  <c r="AC765" s="2"/>
      <c r="AD765" s="2"/>
      <c r="AE765" s="2"/>
      <c r="AF765" s="2"/>
      <c r="AG765" s="2"/>
      <c r="AH765" s="2"/>
      <c r="AI765" s="2"/>
      <c r="AJ765" s="2"/>
      <c r="AK765" s="2"/>
    </row>
    <row r="766" spans="1:37" ht="12.75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  <c r="AC766" s="2"/>
      <c r="AD766" s="2"/>
      <c r="AE766" s="2"/>
      <c r="AF766" s="2"/>
      <c r="AG766" s="2"/>
      <c r="AH766" s="2"/>
      <c r="AI766" s="2"/>
      <c r="AJ766" s="2"/>
      <c r="AK766" s="2"/>
    </row>
    <row r="767" spans="1:37" ht="12.75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  <c r="AC767" s="2"/>
      <c r="AD767" s="2"/>
      <c r="AE767" s="2"/>
      <c r="AF767" s="2"/>
      <c r="AG767" s="2"/>
      <c r="AH767" s="2"/>
      <c r="AI767" s="2"/>
      <c r="AJ767" s="2"/>
      <c r="AK767" s="2"/>
    </row>
    <row r="768" spans="1:37" ht="12.75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  <c r="AC768" s="2"/>
      <c r="AD768" s="2"/>
      <c r="AE768" s="2"/>
      <c r="AF768" s="2"/>
      <c r="AG768" s="2"/>
      <c r="AH768" s="2"/>
      <c r="AI768" s="2"/>
      <c r="AJ768" s="2"/>
      <c r="AK768" s="2"/>
    </row>
    <row r="769" spans="1:37" ht="12.75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  <c r="AC769" s="2"/>
      <c r="AD769" s="2"/>
      <c r="AE769" s="2"/>
      <c r="AF769" s="2"/>
      <c r="AG769" s="2"/>
      <c r="AH769" s="2"/>
      <c r="AI769" s="2"/>
      <c r="AJ769" s="2"/>
      <c r="AK769" s="2"/>
    </row>
    <row r="770" spans="1:37" ht="12.75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  <c r="AC770" s="2"/>
      <c r="AD770" s="2"/>
      <c r="AE770" s="2"/>
      <c r="AF770" s="2"/>
      <c r="AG770" s="2"/>
      <c r="AH770" s="2"/>
      <c r="AI770" s="2"/>
      <c r="AJ770" s="2"/>
      <c r="AK770" s="2"/>
    </row>
    <row r="771" spans="1:37" ht="12.75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  <c r="AC771" s="2"/>
      <c r="AD771" s="2"/>
      <c r="AE771" s="2"/>
      <c r="AF771" s="2"/>
      <c r="AG771" s="2"/>
      <c r="AH771" s="2"/>
      <c r="AI771" s="2"/>
      <c r="AJ771" s="2"/>
      <c r="AK771" s="2"/>
    </row>
    <row r="772" spans="1:37" ht="12.75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  <c r="AC772" s="2"/>
      <c r="AD772" s="2"/>
      <c r="AE772" s="2"/>
      <c r="AF772" s="2"/>
      <c r="AG772" s="2"/>
      <c r="AH772" s="2"/>
      <c r="AI772" s="2"/>
      <c r="AJ772" s="2"/>
      <c r="AK772" s="2"/>
    </row>
    <row r="773" spans="1:37" ht="12.75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  <c r="AC773" s="2"/>
      <c r="AD773" s="2"/>
      <c r="AE773" s="2"/>
      <c r="AF773" s="2"/>
      <c r="AG773" s="2"/>
      <c r="AH773" s="2"/>
      <c r="AI773" s="2"/>
      <c r="AJ773" s="2"/>
      <c r="AK773" s="2"/>
    </row>
    <row r="774" spans="1:37" ht="12.75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  <c r="AC774" s="2"/>
      <c r="AD774" s="2"/>
      <c r="AE774" s="2"/>
      <c r="AF774" s="2"/>
      <c r="AG774" s="2"/>
      <c r="AH774" s="2"/>
      <c r="AI774" s="2"/>
      <c r="AJ774" s="2"/>
      <c r="AK774" s="2"/>
    </row>
    <row r="775" spans="1:37" ht="12.7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  <c r="AC775" s="2"/>
      <c r="AD775" s="2"/>
      <c r="AE775" s="2"/>
      <c r="AF775" s="2"/>
      <c r="AG775" s="2"/>
      <c r="AH775" s="2"/>
      <c r="AI775" s="2"/>
      <c r="AJ775" s="2"/>
      <c r="AK775" s="2"/>
    </row>
    <row r="776" spans="1:37" ht="12.75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  <c r="AC776" s="2"/>
      <c r="AD776" s="2"/>
      <c r="AE776" s="2"/>
      <c r="AF776" s="2"/>
      <c r="AG776" s="2"/>
      <c r="AH776" s="2"/>
      <c r="AI776" s="2"/>
      <c r="AJ776" s="2"/>
      <c r="AK776" s="2"/>
    </row>
    <row r="777" spans="1:37" ht="12.75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  <c r="AC777" s="2"/>
      <c r="AD777" s="2"/>
      <c r="AE777" s="2"/>
      <c r="AF777" s="2"/>
      <c r="AG777" s="2"/>
      <c r="AH777" s="2"/>
      <c r="AI777" s="2"/>
      <c r="AJ777" s="2"/>
      <c r="AK777" s="2"/>
    </row>
    <row r="778" spans="1:37" ht="12.75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  <c r="AC778" s="2"/>
      <c r="AD778" s="2"/>
      <c r="AE778" s="2"/>
      <c r="AF778" s="2"/>
      <c r="AG778" s="2"/>
      <c r="AH778" s="2"/>
      <c r="AI778" s="2"/>
      <c r="AJ778" s="2"/>
      <c r="AK778" s="2"/>
    </row>
    <row r="779" spans="1:37" ht="12.75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  <c r="AC779" s="2"/>
      <c r="AD779" s="2"/>
      <c r="AE779" s="2"/>
      <c r="AF779" s="2"/>
      <c r="AG779" s="2"/>
      <c r="AH779" s="2"/>
      <c r="AI779" s="2"/>
      <c r="AJ779" s="2"/>
      <c r="AK779" s="2"/>
    </row>
    <row r="780" spans="1:37" ht="12.75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  <c r="AC780" s="2"/>
      <c r="AD780" s="2"/>
      <c r="AE780" s="2"/>
      <c r="AF780" s="2"/>
      <c r="AG780" s="2"/>
      <c r="AH780" s="2"/>
      <c r="AI780" s="2"/>
      <c r="AJ780" s="2"/>
      <c r="AK780" s="2"/>
    </row>
    <row r="781" spans="1:37" ht="12.75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  <c r="AC781" s="2"/>
      <c r="AD781" s="2"/>
      <c r="AE781" s="2"/>
      <c r="AF781" s="2"/>
      <c r="AG781" s="2"/>
      <c r="AH781" s="2"/>
      <c r="AI781" s="2"/>
      <c r="AJ781" s="2"/>
      <c r="AK781" s="2"/>
    </row>
    <row r="782" spans="1:37" ht="12.75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  <c r="AC782" s="2"/>
      <c r="AD782" s="2"/>
      <c r="AE782" s="2"/>
      <c r="AF782" s="2"/>
      <c r="AG782" s="2"/>
      <c r="AH782" s="2"/>
      <c r="AI782" s="2"/>
      <c r="AJ782" s="2"/>
      <c r="AK782" s="2"/>
    </row>
    <row r="783" spans="1:37" ht="12.75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  <c r="AC783" s="2"/>
      <c r="AD783" s="2"/>
      <c r="AE783" s="2"/>
      <c r="AF783" s="2"/>
      <c r="AG783" s="2"/>
      <c r="AH783" s="2"/>
      <c r="AI783" s="2"/>
      <c r="AJ783" s="2"/>
      <c r="AK783" s="2"/>
    </row>
    <row r="784" spans="1:37" ht="12.75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  <c r="AC784" s="2"/>
      <c r="AD784" s="2"/>
      <c r="AE784" s="2"/>
      <c r="AF784" s="2"/>
      <c r="AG784" s="2"/>
      <c r="AH784" s="2"/>
      <c r="AI784" s="2"/>
      <c r="AJ784" s="2"/>
      <c r="AK784" s="2"/>
    </row>
    <row r="785" spans="1:37" ht="12.7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  <c r="AC785" s="2"/>
      <c r="AD785" s="2"/>
      <c r="AE785" s="2"/>
      <c r="AF785" s="2"/>
      <c r="AG785" s="2"/>
      <c r="AH785" s="2"/>
      <c r="AI785" s="2"/>
      <c r="AJ785" s="2"/>
      <c r="AK785" s="2"/>
    </row>
    <row r="786" spans="1:37" ht="12.75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  <c r="AC786" s="2"/>
      <c r="AD786" s="2"/>
      <c r="AE786" s="2"/>
      <c r="AF786" s="2"/>
      <c r="AG786" s="2"/>
      <c r="AH786" s="2"/>
      <c r="AI786" s="2"/>
      <c r="AJ786" s="2"/>
      <c r="AK786" s="2"/>
    </row>
    <row r="787" spans="1:37" ht="12.75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  <c r="AC787" s="2"/>
      <c r="AD787" s="2"/>
      <c r="AE787" s="2"/>
      <c r="AF787" s="2"/>
      <c r="AG787" s="2"/>
      <c r="AH787" s="2"/>
      <c r="AI787" s="2"/>
      <c r="AJ787" s="2"/>
      <c r="AK787" s="2"/>
    </row>
    <row r="788" spans="1:37" ht="12.75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  <c r="AC788" s="2"/>
      <c r="AD788" s="2"/>
      <c r="AE788" s="2"/>
      <c r="AF788" s="2"/>
      <c r="AG788" s="2"/>
      <c r="AH788" s="2"/>
      <c r="AI788" s="2"/>
      <c r="AJ788" s="2"/>
      <c r="AK788" s="2"/>
    </row>
    <row r="789" spans="1:37" ht="12.75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  <c r="AC789" s="2"/>
      <c r="AD789" s="2"/>
      <c r="AE789" s="2"/>
      <c r="AF789" s="2"/>
      <c r="AG789" s="2"/>
      <c r="AH789" s="2"/>
      <c r="AI789" s="2"/>
      <c r="AJ789" s="2"/>
      <c r="AK789" s="2"/>
    </row>
    <row r="790" spans="1:37" ht="12.75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  <c r="AC790" s="2"/>
      <c r="AD790" s="2"/>
      <c r="AE790" s="2"/>
      <c r="AF790" s="2"/>
      <c r="AG790" s="2"/>
      <c r="AH790" s="2"/>
      <c r="AI790" s="2"/>
      <c r="AJ790" s="2"/>
      <c r="AK790" s="2"/>
    </row>
    <row r="791" spans="1:37" ht="12.75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  <c r="AC791" s="2"/>
      <c r="AD791" s="2"/>
      <c r="AE791" s="2"/>
      <c r="AF791" s="2"/>
      <c r="AG791" s="2"/>
      <c r="AH791" s="2"/>
      <c r="AI791" s="2"/>
      <c r="AJ791" s="2"/>
      <c r="AK791" s="2"/>
    </row>
    <row r="792" spans="1:37" ht="12.75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  <c r="AC792" s="2"/>
      <c r="AD792" s="2"/>
      <c r="AE792" s="2"/>
      <c r="AF792" s="2"/>
      <c r="AG792" s="2"/>
      <c r="AH792" s="2"/>
      <c r="AI792" s="2"/>
      <c r="AJ792" s="2"/>
      <c r="AK792" s="2"/>
    </row>
    <row r="793" spans="1:37" ht="12.75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  <c r="AC793" s="2"/>
      <c r="AD793" s="2"/>
      <c r="AE793" s="2"/>
      <c r="AF793" s="2"/>
      <c r="AG793" s="2"/>
      <c r="AH793" s="2"/>
      <c r="AI793" s="2"/>
      <c r="AJ793" s="2"/>
      <c r="AK793" s="2"/>
    </row>
    <row r="794" spans="1:37" ht="12.75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  <c r="AC794" s="2"/>
      <c r="AD794" s="2"/>
      <c r="AE794" s="2"/>
      <c r="AF794" s="2"/>
      <c r="AG794" s="2"/>
      <c r="AH794" s="2"/>
      <c r="AI794" s="2"/>
      <c r="AJ794" s="2"/>
      <c r="AK794" s="2"/>
    </row>
    <row r="795" spans="1:37" ht="12.7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  <c r="AC795" s="2"/>
      <c r="AD795" s="2"/>
      <c r="AE795" s="2"/>
      <c r="AF795" s="2"/>
      <c r="AG795" s="2"/>
      <c r="AH795" s="2"/>
      <c r="AI795" s="2"/>
      <c r="AJ795" s="2"/>
      <c r="AK795" s="2"/>
    </row>
    <row r="796" spans="1:37" ht="12.75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  <c r="AC796" s="2"/>
      <c r="AD796" s="2"/>
      <c r="AE796" s="2"/>
      <c r="AF796" s="2"/>
      <c r="AG796" s="2"/>
      <c r="AH796" s="2"/>
      <c r="AI796" s="2"/>
      <c r="AJ796" s="2"/>
      <c r="AK796" s="2"/>
    </row>
    <row r="797" spans="1:37" ht="12.75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  <c r="AC797" s="2"/>
      <c r="AD797" s="2"/>
      <c r="AE797" s="2"/>
      <c r="AF797" s="2"/>
      <c r="AG797" s="2"/>
      <c r="AH797" s="2"/>
      <c r="AI797" s="2"/>
      <c r="AJ797" s="2"/>
      <c r="AK797" s="2"/>
    </row>
    <row r="798" spans="1:37" ht="12.75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  <c r="AC798" s="2"/>
      <c r="AD798" s="2"/>
      <c r="AE798" s="2"/>
      <c r="AF798" s="2"/>
      <c r="AG798" s="2"/>
      <c r="AH798" s="2"/>
      <c r="AI798" s="2"/>
      <c r="AJ798" s="2"/>
      <c r="AK798" s="2"/>
    </row>
    <row r="799" spans="1:37" ht="12.75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  <c r="AC799" s="2"/>
      <c r="AD799" s="2"/>
      <c r="AE799" s="2"/>
      <c r="AF799" s="2"/>
      <c r="AG799" s="2"/>
      <c r="AH799" s="2"/>
      <c r="AI799" s="2"/>
      <c r="AJ799" s="2"/>
      <c r="AK799" s="2"/>
    </row>
    <row r="800" spans="1:37" ht="12.75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  <c r="AC800" s="2"/>
      <c r="AD800" s="2"/>
      <c r="AE800" s="2"/>
      <c r="AF800" s="2"/>
      <c r="AG800" s="2"/>
      <c r="AH800" s="2"/>
      <c r="AI800" s="2"/>
      <c r="AJ800" s="2"/>
      <c r="AK800" s="2"/>
    </row>
    <row r="801" spans="1:37" ht="12.75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  <c r="AC801" s="2"/>
      <c r="AD801" s="2"/>
      <c r="AE801" s="2"/>
      <c r="AF801" s="2"/>
      <c r="AG801" s="2"/>
      <c r="AH801" s="2"/>
      <c r="AI801" s="2"/>
      <c r="AJ801" s="2"/>
      <c r="AK801" s="2"/>
    </row>
    <row r="802" spans="1:37" ht="12.75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  <c r="AC802" s="2"/>
      <c r="AD802" s="2"/>
      <c r="AE802" s="2"/>
      <c r="AF802" s="2"/>
      <c r="AG802" s="2"/>
      <c r="AH802" s="2"/>
      <c r="AI802" s="2"/>
      <c r="AJ802" s="2"/>
      <c r="AK802" s="2"/>
    </row>
    <row r="803" spans="1:37" ht="12.75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  <c r="AC803" s="2"/>
      <c r="AD803" s="2"/>
      <c r="AE803" s="2"/>
      <c r="AF803" s="2"/>
      <c r="AG803" s="2"/>
      <c r="AH803" s="2"/>
      <c r="AI803" s="2"/>
      <c r="AJ803" s="2"/>
      <c r="AK803" s="2"/>
    </row>
    <row r="804" spans="1:37" ht="12.75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  <c r="AC804" s="2"/>
      <c r="AD804" s="2"/>
      <c r="AE804" s="2"/>
      <c r="AF804" s="2"/>
      <c r="AG804" s="2"/>
      <c r="AH804" s="2"/>
      <c r="AI804" s="2"/>
      <c r="AJ804" s="2"/>
      <c r="AK804" s="2"/>
    </row>
    <row r="805" spans="1:37" ht="12.7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  <c r="AC805" s="2"/>
      <c r="AD805" s="2"/>
      <c r="AE805" s="2"/>
      <c r="AF805" s="2"/>
      <c r="AG805" s="2"/>
      <c r="AH805" s="2"/>
      <c r="AI805" s="2"/>
      <c r="AJ805" s="2"/>
      <c r="AK805" s="2"/>
    </row>
    <row r="806" spans="1:37" ht="12.75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  <c r="AC806" s="2"/>
      <c r="AD806" s="2"/>
      <c r="AE806" s="2"/>
      <c r="AF806" s="2"/>
      <c r="AG806" s="2"/>
      <c r="AH806" s="2"/>
      <c r="AI806" s="2"/>
      <c r="AJ806" s="2"/>
      <c r="AK806" s="2"/>
    </row>
    <row r="807" spans="1:37" ht="12.75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  <c r="AC807" s="2"/>
      <c r="AD807" s="2"/>
      <c r="AE807" s="2"/>
      <c r="AF807" s="2"/>
      <c r="AG807" s="2"/>
      <c r="AH807" s="2"/>
      <c r="AI807" s="2"/>
      <c r="AJ807" s="2"/>
      <c r="AK807" s="2"/>
    </row>
    <row r="808" spans="1:37" ht="12.75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  <c r="AC808" s="2"/>
      <c r="AD808" s="2"/>
      <c r="AE808" s="2"/>
      <c r="AF808" s="2"/>
      <c r="AG808" s="2"/>
      <c r="AH808" s="2"/>
      <c r="AI808" s="2"/>
      <c r="AJ808" s="2"/>
      <c r="AK808" s="2"/>
    </row>
    <row r="809" spans="1:37" ht="12.75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  <c r="AC809" s="2"/>
      <c r="AD809" s="2"/>
      <c r="AE809" s="2"/>
      <c r="AF809" s="2"/>
      <c r="AG809" s="2"/>
      <c r="AH809" s="2"/>
      <c r="AI809" s="2"/>
      <c r="AJ809" s="2"/>
      <c r="AK809" s="2"/>
    </row>
    <row r="810" spans="1:37" ht="12.75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  <c r="AC810" s="2"/>
      <c r="AD810" s="2"/>
      <c r="AE810" s="2"/>
      <c r="AF810" s="2"/>
      <c r="AG810" s="2"/>
      <c r="AH810" s="2"/>
      <c r="AI810" s="2"/>
      <c r="AJ810" s="2"/>
      <c r="AK810" s="2"/>
    </row>
    <row r="811" spans="1:37" ht="12.75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  <c r="AC811" s="2"/>
      <c r="AD811" s="2"/>
      <c r="AE811" s="2"/>
      <c r="AF811" s="2"/>
      <c r="AG811" s="2"/>
      <c r="AH811" s="2"/>
      <c r="AI811" s="2"/>
      <c r="AJ811" s="2"/>
      <c r="AK811" s="2"/>
    </row>
    <row r="812" spans="1:37" ht="12.75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  <c r="AC812" s="2"/>
      <c r="AD812" s="2"/>
      <c r="AE812" s="2"/>
      <c r="AF812" s="2"/>
      <c r="AG812" s="2"/>
      <c r="AH812" s="2"/>
      <c r="AI812" s="2"/>
      <c r="AJ812" s="2"/>
      <c r="AK812" s="2"/>
    </row>
    <row r="813" spans="1:37" ht="12.75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  <c r="AC813" s="2"/>
      <c r="AD813" s="2"/>
      <c r="AE813" s="2"/>
      <c r="AF813" s="2"/>
      <c r="AG813" s="2"/>
      <c r="AH813" s="2"/>
      <c r="AI813" s="2"/>
      <c r="AJ813" s="2"/>
      <c r="AK813" s="2"/>
    </row>
    <row r="814" spans="1:37" ht="12.75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  <c r="AC814" s="2"/>
      <c r="AD814" s="2"/>
      <c r="AE814" s="2"/>
      <c r="AF814" s="2"/>
      <c r="AG814" s="2"/>
      <c r="AH814" s="2"/>
      <c r="AI814" s="2"/>
      <c r="AJ814" s="2"/>
      <c r="AK814" s="2"/>
    </row>
    <row r="815" spans="1:37" ht="12.7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  <c r="AC815" s="2"/>
      <c r="AD815" s="2"/>
      <c r="AE815" s="2"/>
      <c r="AF815" s="2"/>
      <c r="AG815" s="2"/>
      <c r="AH815" s="2"/>
      <c r="AI815" s="2"/>
      <c r="AJ815" s="2"/>
      <c r="AK815" s="2"/>
    </row>
    <row r="816" spans="1:37" ht="12.75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  <c r="AC816" s="2"/>
      <c r="AD816" s="2"/>
      <c r="AE816" s="2"/>
      <c r="AF816" s="2"/>
      <c r="AG816" s="2"/>
      <c r="AH816" s="2"/>
      <c r="AI816" s="2"/>
      <c r="AJ816" s="2"/>
      <c r="AK816" s="2"/>
    </row>
    <row r="817" spans="1:37" ht="12.75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  <c r="AC817" s="2"/>
      <c r="AD817" s="2"/>
      <c r="AE817" s="2"/>
      <c r="AF817" s="2"/>
      <c r="AG817" s="2"/>
      <c r="AH817" s="2"/>
      <c r="AI817" s="2"/>
      <c r="AJ817" s="2"/>
      <c r="AK817" s="2"/>
    </row>
    <row r="818" spans="1:37" ht="12.75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  <c r="AC818" s="2"/>
      <c r="AD818" s="2"/>
      <c r="AE818" s="2"/>
      <c r="AF818" s="2"/>
      <c r="AG818" s="2"/>
      <c r="AH818" s="2"/>
      <c r="AI818" s="2"/>
      <c r="AJ818" s="2"/>
      <c r="AK818" s="2"/>
    </row>
    <row r="819" spans="1:37" ht="12.75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  <c r="AC819" s="2"/>
      <c r="AD819" s="2"/>
      <c r="AE819" s="2"/>
      <c r="AF819" s="2"/>
      <c r="AG819" s="2"/>
      <c r="AH819" s="2"/>
      <c r="AI819" s="2"/>
      <c r="AJ819" s="2"/>
      <c r="AK819" s="2"/>
    </row>
    <row r="820" spans="1:37" ht="12.75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  <c r="AC820" s="2"/>
      <c r="AD820" s="2"/>
      <c r="AE820" s="2"/>
      <c r="AF820" s="2"/>
      <c r="AG820" s="2"/>
      <c r="AH820" s="2"/>
      <c r="AI820" s="2"/>
      <c r="AJ820" s="2"/>
      <c r="AK820" s="2"/>
    </row>
    <row r="821" spans="1:37" ht="12.75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  <c r="AC821" s="2"/>
      <c r="AD821" s="2"/>
      <c r="AE821" s="2"/>
      <c r="AF821" s="2"/>
      <c r="AG821" s="2"/>
      <c r="AH821" s="2"/>
      <c r="AI821" s="2"/>
      <c r="AJ821" s="2"/>
      <c r="AK821" s="2"/>
    </row>
    <row r="822" spans="1:37" ht="12.75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  <c r="AC822" s="2"/>
      <c r="AD822" s="2"/>
      <c r="AE822" s="2"/>
      <c r="AF822" s="2"/>
      <c r="AG822" s="2"/>
      <c r="AH822" s="2"/>
      <c r="AI822" s="2"/>
      <c r="AJ822" s="2"/>
      <c r="AK822" s="2"/>
    </row>
    <row r="823" spans="1:37" ht="12.75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  <c r="AC823" s="2"/>
      <c r="AD823" s="2"/>
      <c r="AE823" s="2"/>
      <c r="AF823" s="2"/>
      <c r="AG823" s="2"/>
      <c r="AH823" s="2"/>
      <c r="AI823" s="2"/>
      <c r="AJ823" s="2"/>
      <c r="AK823" s="2"/>
    </row>
    <row r="824" spans="1:37" ht="12.75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  <c r="AC824" s="2"/>
      <c r="AD824" s="2"/>
      <c r="AE824" s="2"/>
      <c r="AF824" s="2"/>
      <c r="AG824" s="2"/>
      <c r="AH824" s="2"/>
      <c r="AI824" s="2"/>
      <c r="AJ824" s="2"/>
      <c r="AK824" s="2"/>
    </row>
    <row r="825" spans="1:37" ht="12.7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  <c r="AC825" s="2"/>
      <c r="AD825" s="2"/>
      <c r="AE825" s="2"/>
      <c r="AF825" s="2"/>
      <c r="AG825" s="2"/>
      <c r="AH825" s="2"/>
      <c r="AI825" s="2"/>
      <c r="AJ825" s="2"/>
      <c r="AK825" s="2"/>
    </row>
    <row r="826" spans="1:37" ht="12.75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  <c r="AC826" s="2"/>
      <c r="AD826" s="2"/>
      <c r="AE826" s="2"/>
      <c r="AF826" s="2"/>
      <c r="AG826" s="2"/>
      <c r="AH826" s="2"/>
      <c r="AI826" s="2"/>
      <c r="AJ826" s="2"/>
      <c r="AK826" s="2"/>
    </row>
    <row r="827" spans="1:37" ht="12.75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  <c r="AC827" s="2"/>
      <c r="AD827" s="2"/>
      <c r="AE827" s="2"/>
      <c r="AF827" s="2"/>
      <c r="AG827" s="2"/>
      <c r="AH827" s="2"/>
      <c r="AI827" s="2"/>
      <c r="AJ827" s="2"/>
      <c r="AK827" s="2"/>
    </row>
    <row r="828" spans="1:37" ht="12.75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  <c r="AC828" s="2"/>
      <c r="AD828" s="2"/>
      <c r="AE828" s="2"/>
      <c r="AF828" s="2"/>
      <c r="AG828" s="2"/>
      <c r="AH828" s="2"/>
      <c r="AI828" s="2"/>
      <c r="AJ828" s="2"/>
      <c r="AK828" s="2"/>
    </row>
    <row r="829" spans="1:37" ht="12.75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  <c r="AC829" s="2"/>
      <c r="AD829" s="2"/>
      <c r="AE829" s="2"/>
      <c r="AF829" s="2"/>
      <c r="AG829" s="2"/>
      <c r="AH829" s="2"/>
      <c r="AI829" s="2"/>
      <c r="AJ829" s="2"/>
      <c r="AK829" s="2"/>
    </row>
    <row r="830" spans="1:37" ht="12.75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  <c r="AC830" s="2"/>
      <c r="AD830" s="2"/>
      <c r="AE830" s="2"/>
      <c r="AF830" s="2"/>
      <c r="AG830" s="2"/>
      <c r="AH830" s="2"/>
      <c r="AI830" s="2"/>
      <c r="AJ830" s="2"/>
      <c r="AK830" s="2"/>
    </row>
    <row r="831" spans="1:37" ht="12.75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  <c r="AC831" s="2"/>
      <c r="AD831" s="2"/>
      <c r="AE831" s="2"/>
      <c r="AF831" s="2"/>
      <c r="AG831" s="2"/>
      <c r="AH831" s="2"/>
      <c r="AI831" s="2"/>
      <c r="AJ831" s="2"/>
      <c r="AK831" s="2"/>
    </row>
    <row r="832" spans="1:37" ht="12.75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  <c r="AC832" s="2"/>
      <c r="AD832" s="2"/>
      <c r="AE832" s="2"/>
      <c r="AF832" s="2"/>
      <c r="AG832" s="2"/>
      <c r="AH832" s="2"/>
      <c r="AI832" s="2"/>
      <c r="AJ832" s="2"/>
      <c r="AK832" s="2"/>
    </row>
    <row r="833" spans="1:37" ht="12.75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  <c r="AC833" s="2"/>
      <c r="AD833" s="2"/>
      <c r="AE833" s="2"/>
      <c r="AF833" s="2"/>
      <c r="AG833" s="2"/>
      <c r="AH833" s="2"/>
      <c r="AI833" s="2"/>
      <c r="AJ833" s="2"/>
      <c r="AK833" s="2"/>
    </row>
    <row r="834" spans="1:37" ht="12.75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  <c r="AC834" s="2"/>
      <c r="AD834" s="2"/>
      <c r="AE834" s="2"/>
      <c r="AF834" s="2"/>
      <c r="AG834" s="2"/>
      <c r="AH834" s="2"/>
      <c r="AI834" s="2"/>
      <c r="AJ834" s="2"/>
      <c r="AK834" s="2"/>
    </row>
    <row r="835" spans="1:37" ht="12.7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  <c r="AC835" s="2"/>
      <c r="AD835" s="2"/>
      <c r="AE835" s="2"/>
      <c r="AF835" s="2"/>
      <c r="AG835" s="2"/>
      <c r="AH835" s="2"/>
      <c r="AI835" s="2"/>
      <c r="AJ835" s="2"/>
      <c r="AK835" s="2"/>
    </row>
    <row r="836" spans="1:37" ht="12.75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  <c r="AC836" s="2"/>
      <c r="AD836" s="2"/>
      <c r="AE836" s="2"/>
      <c r="AF836" s="2"/>
      <c r="AG836" s="2"/>
      <c r="AH836" s="2"/>
      <c r="AI836" s="2"/>
      <c r="AJ836" s="2"/>
      <c r="AK836" s="2"/>
    </row>
    <row r="837" spans="1:37" ht="12.75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  <c r="AC837" s="2"/>
      <c r="AD837" s="2"/>
      <c r="AE837" s="2"/>
      <c r="AF837" s="2"/>
      <c r="AG837" s="2"/>
      <c r="AH837" s="2"/>
      <c r="AI837" s="2"/>
      <c r="AJ837" s="2"/>
      <c r="AK837" s="2"/>
    </row>
    <row r="838" spans="1:37" ht="12.75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  <c r="AC838" s="2"/>
      <c r="AD838" s="2"/>
      <c r="AE838" s="2"/>
      <c r="AF838" s="2"/>
      <c r="AG838" s="2"/>
      <c r="AH838" s="2"/>
      <c r="AI838" s="2"/>
      <c r="AJ838" s="2"/>
      <c r="AK838" s="2"/>
    </row>
    <row r="839" spans="1:37" ht="12.75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  <c r="AC839" s="2"/>
      <c r="AD839" s="2"/>
      <c r="AE839" s="2"/>
      <c r="AF839" s="2"/>
      <c r="AG839" s="2"/>
      <c r="AH839" s="2"/>
      <c r="AI839" s="2"/>
      <c r="AJ839" s="2"/>
      <c r="AK839" s="2"/>
    </row>
    <row r="840" spans="1:37" ht="12.75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  <c r="AC840" s="2"/>
      <c r="AD840" s="2"/>
      <c r="AE840" s="2"/>
      <c r="AF840" s="2"/>
      <c r="AG840" s="2"/>
      <c r="AH840" s="2"/>
      <c r="AI840" s="2"/>
      <c r="AJ840" s="2"/>
      <c r="AK840" s="2"/>
    </row>
    <row r="841" spans="1:37" ht="12.75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  <c r="AC841" s="2"/>
      <c r="AD841" s="2"/>
      <c r="AE841" s="2"/>
      <c r="AF841" s="2"/>
      <c r="AG841" s="2"/>
      <c r="AH841" s="2"/>
      <c r="AI841" s="2"/>
      <c r="AJ841" s="2"/>
      <c r="AK841" s="2"/>
    </row>
    <row r="842" spans="1:37" ht="12.75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  <c r="AC842" s="2"/>
      <c r="AD842" s="2"/>
      <c r="AE842" s="2"/>
      <c r="AF842" s="2"/>
      <c r="AG842" s="2"/>
      <c r="AH842" s="2"/>
      <c r="AI842" s="2"/>
      <c r="AJ842" s="2"/>
      <c r="AK842" s="2"/>
    </row>
    <row r="843" spans="1:37" ht="12.75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  <c r="AC843" s="2"/>
      <c r="AD843" s="2"/>
      <c r="AE843" s="2"/>
      <c r="AF843" s="2"/>
      <c r="AG843" s="2"/>
      <c r="AH843" s="2"/>
      <c r="AI843" s="2"/>
      <c r="AJ843" s="2"/>
      <c r="AK843" s="2"/>
    </row>
    <row r="844" spans="1:37" ht="12.75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  <c r="AC844" s="2"/>
      <c r="AD844" s="2"/>
      <c r="AE844" s="2"/>
      <c r="AF844" s="2"/>
      <c r="AG844" s="2"/>
      <c r="AH844" s="2"/>
      <c r="AI844" s="2"/>
      <c r="AJ844" s="2"/>
      <c r="AK844" s="2"/>
    </row>
    <row r="845" spans="1:37" ht="12.7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  <c r="AC845" s="2"/>
      <c r="AD845" s="2"/>
      <c r="AE845" s="2"/>
      <c r="AF845" s="2"/>
      <c r="AG845" s="2"/>
      <c r="AH845" s="2"/>
      <c r="AI845" s="2"/>
      <c r="AJ845" s="2"/>
      <c r="AK845" s="2"/>
    </row>
    <row r="846" spans="1:37" ht="12.75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  <c r="AC846" s="2"/>
      <c r="AD846" s="2"/>
      <c r="AE846" s="2"/>
      <c r="AF846" s="2"/>
      <c r="AG846" s="2"/>
      <c r="AH846" s="2"/>
      <c r="AI846" s="2"/>
      <c r="AJ846" s="2"/>
      <c r="AK846" s="2"/>
    </row>
    <row r="847" spans="1:37" ht="12.75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  <c r="AC847" s="2"/>
      <c r="AD847" s="2"/>
      <c r="AE847" s="2"/>
      <c r="AF847" s="2"/>
      <c r="AG847" s="2"/>
      <c r="AH847" s="2"/>
      <c r="AI847" s="2"/>
      <c r="AJ847" s="2"/>
      <c r="AK847" s="2"/>
    </row>
    <row r="848" spans="1:37" ht="12.75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  <c r="AC848" s="2"/>
      <c r="AD848" s="2"/>
      <c r="AE848" s="2"/>
      <c r="AF848" s="2"/>
      <c r="AG848" s="2"/>
      <c r="AH848" s="2"/>
      <c r="AI848" s="2"/>
      <c r="AJ848" s="2"/>
      <c r="AK848" s="2"/>
    </row>
    <row r="849" spans="1:37" ht="12.75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  <c r="AC849" s="2"/>
      <c r="AD849" s="2"/>
      <c r="AE849" s="2"/>
      <c r="AF849" s="2"/>
      <c r="AG849" s="2"/>
      <c r="AH849" s="2"/>
      <c r="AI849" s="2"/>
      <c r="AJ849" s="2"/>
      <c r="AK849" s="2"/>
    </row>
    <row r="850" spans="1:37" ht="12.75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  <c r="AC850" s="2"/>
      <c r="AD850" s="2"/>
      <c r="AE850" s="2"/>
      <c r="AF850" s="2"/>
      <c r="AG850" s="2"/>
      <c r="AH850" s="2"/>
      <c r="AI850" s="2"/>
      <c r="AJ850" s="2"/>
      <c r="AK850" s="2"/>
    </row>
    <row r="851" spans="1:37" ht="12.75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  <c r="AC851" s="2"/>
      <c r="AD851" s="2"/>
      <c r="AE851" s="2"/>
      <c r="AF851" s="2"/>
      <c r="AG851" s="2"/>
      <c r="AH851" s="2"/>
      <c r="AI851" s="2"/>
      <c r="AJ851" s="2"/>
      <c r="AK851" s="2"/>
    </row>
    <row r="852" spans="1:37" ht="12.75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  <c r="AC852" s="2"/>
      <c r="AD852" s="2"/>
      <c r="AE852" s="2"/>
      <c r="AF852" s="2"/>
      <c r="AG852" s="2"/>
      <c r="AH852" s="2"/>
      <c r="AI852" s="2"/>
      <c r="AJ852" s="2"/>
      <c r="AK852" s="2"/>
    </row>
    <row r="853" spans="1:37" ht="12.75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  <c r="AC853" s="2"/>
      <c r="AD853" s="2"/>
      <c r="AE853" s="2"/>
      <c r="AF853" s="2"/>
      <c r="AG853" s="2"/>
      <c r="AH853" s="2"/>
      <c r="AI853" s="2"/>
      <c r="AJ853" s="2"/>
      <c r="AK853" s="2"/>
    </row>
    <row r="854" spans="1:37" ht="12.75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  <c r="AC854" s="2"/>
      <c r="AD854" s="2"/>
      <c r="AE854" s="2"/>
      <c r="AF854" s="2"/>
      <c r="AG854" s="2"/>
      <c r="AH854" s="2"/>
      <c r="AI854" s="2"/>
      <c r="AJ854" s="2"/>
      <c r="AK854" s="2"/>
    </row>
    <row r="855" spans="1:37" ht="12.7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  <c r="AC855" s="2"/>
      <c r="AD855" s="2"/>
      <c r="AE855" s="2"/>
      <c r="AF855" s="2"/>
      <c r="AG855" s="2"/>
      <c r="AH855" s="2"/>
      <c r="AI855" s="2"/>
      <c r="AJ855" s="2"/>
      <c r="AK855" s="2"/>
    </row>
    <row r="856" spans="1:37" ht="12.75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  <c r="AC856" s="2"/>
      <c r="AD856" s="2"/>
      <c r="AE856" s="2"/>
      <c r="AF856" s="2"/>
      <c r="AG856" s="2"/>
      <c r="AH856" s="2"/>
      <c r="AI856" s="2"/>
      <c r="AJ856" s="2"/>
      <c r="AK856" s="2"/>
    </row>
    <row r="857" spans="1:37" ht="12.75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  <c r="AC857" s="2"/>
      <c r="AD857" s="2"/>
      <c r="AE857" s="2"/>
      <c r="AF857" s="2"/>
      <c r="AG857" s="2"/>
      <c r="AH857" s="2"/>
      <c r="AI857" s="2"/>
      <c r="AJ857" s="2"/>
      <c r="AK857" s="2"/>
    </row>
    <row r="858" spans="1:37" ht="12.75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  <c r="AC858" s="2"/>
      <c r="AD858" s="2"/>
      <c r="AE858" s="2"/>
      <c r="AF858" s="2"/>
      <c r="AG858" s="2"/>
      <c r="AH858" s="2"/>
      <c r="AI858" s="2"/>
      <c r="AJ858" s="2"/>
      <c r="AK858" s="2"/>
    </row>
    <row r="859" spans="1:37" ht="12.75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  <c r="AC859" s="2"/>
      <c r="AD859" s="2"/>
      <c r="AE859" s="2"/>
      <c r="AF859" s="2"/>
      <c r="AG859" s="2"/>
      <c r="AH859" s="2"/>
      <c r="AI859" s="2"/>
      <c r="AJ859" s="2"/>
      <c r="AK859" s="2"/>
    </row>
    <row r="860" spans="1:37" ht="12.75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  <c r="AC860" s="2"/>
      <c r="AD860" s="2"/>
      <c r="AE860" s="2"/>
      <c r="AF860" s="2"/>
      <c r="AG860" s="2"/>
      <c r="AH860" s="2"/>
      <c r="AI860" s="2"/>
      <c r="AJ860" s="2"/>
      <c r="AK860" s="2"/>
    </row>
    <row r="861" spans="1:37" ht="12.75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  <c r="AC861" s="2"/>
      <c r="AD861" s="2"/>
      <c r="AE861" s="2"/>
      <c r="AF861" s="2"/>
      <c r="AG861" s="2"/>
      <c r="AH861" s="2"/>
      <c r="AI861" s="2"/>
      <c r="AJ861" s="2"/>
      <c r="AK861" s="2"/>
    </row>
    <row r="862" spans="1:37" ht="12.75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  <c r="AC862" s="2"/>
      <c r="AD862" s="2"/>
      <c r="AE862" s="2"/>
      <c r="AF862" s="2"/>
      <c r="AG862" s="2"/>
      <c r="AH862" s="2"/>
      <c r="AI862" s="2"/>
      <c r="AJ862" s="2"/>
      <c r="AK862" s="2"/>
    </row>
    <row r="863" spans="1:37" ht="12.75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  <c r="AC863" s="2"/>
      <c r="AD863" s="2"/>
      <c r="AE863" s="2"/>
      <c r="AF863" s="2"/>
      <c r="AG863" s="2"/>
      <c r="AH863" s="2"/>
      <c r="AI863" s="2"/>
      <c r="AJ863" s="2"/>
      <c r="AK863" s="2"/>
    </row>
    <row r="864" spans="1:37" ht="12.75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  <c r="AC864" s="2"/>
      <c r="AD864" s="2"/>
      <c r="AE864" s="2"/>
      <c r="AF864" s="2"/>
      <c r="AG864" s="2"/>
      <c r="AH864" s="2"/>
      <c r="AI864" s="2"/>
      <c r="AJ864" s="2"/>
      <c r="AK864" s="2"/>
    </row>
    <row r="865" spans="1:37" ht="12.7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  <c r="AC865" s="2"/>
      <c r="AD865" s="2"/>
      <c r="AE865" s="2"/>
      <c r="AF865" s="2"/>
      <c r="AG865" s="2"/>
      <c r="AH865" s="2"/>
      <c r="AI865" s="2"/>
      <c r="AJ865" s="2"/>
      <c r="AK865" s="2"/>
    </row>
    <row r="866" spans="1:37" ht="12.75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  <c r="AC866" s="2"/>
      <c r="AD866" s="2"/>
      <c r="AE866" s="2"/>
      <c r="AF866" s="2"/>
      <c r="AG866" s="2"/>
      <c r="AH866" s="2"/>
      <c r="AI866" s="2"/>
      <c r="AJ866" s="2"/>
      <c r="AK866" s="2"/>
    </row>
    <row r="867" spans="1:37" ht="12.75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  <c r="AC867" s="2"/>
      <c r="AD867" s="2"/>
      <c r="AE867" s="2"/>
      <c r="AF867" s="2"/>
      <c r="AG867" s="2"/>
      <c r="AH867" s="2"/>
      <c r="AI867" s="2"/>
      <c r="AJ867" s="2"/>
      <c r="AK867" s="2"/>
    </row>
    <row r="868" spans="1:37" ht="12.75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  <c r="AC868" s="2"/>
      <c r="AD868" s="2"/>
      <c r="AE868" s="2"/>
      <c r="AF868" s="2"/>
      <c r="AG868" s="2"/>
      <c r="AH868" s="2"/>
      <c r="AI868" s="2"/>
      <c r="AJ868" s="2"/>
      <c r="AK868" s="2"/>
    </row>
    <row r="869" spans="1:37" ht="12.75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  <c r="AC869" s="2"/>
      <c r="AD869" s="2"/>
      <c r="AE869" s="2"/>
      <c r="AF869" s="2"/>
      <c r="AG869" s="2"/>
      <c r="AH869" s="2"/>
      <c r="AI869" s="2"/>
      <c r="AJ869" s="2"/>
      <c r="AK869" s="2"/>
    </row>
    <row r="870" spans="1:37" ht="12.75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  <c r="AC870" s="2"/>
      <c r="AD870" s="2"/>
      <c r="AE870" s="2"/>
      <c r="AF870" s="2"/>
      <c r="AG870" s="2"/>
      <c r="AH870" s="2"/>
      <c r="AI870" s="2"/>
      <c r="AJ870" s="2"/>
      <c r="AK870" s="2"/>
    </row>
    <row r="871" spans="1:37" ht="12.75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  <c r="AC871" s="2"/>
      <c r="AD871" s="2"/>
      <c r="AE871" s="2"/>
      <c r="AF871" s="2"/>
      <c r="AG871" s="2"/>
      <c r="AH871" s="2"/>
      <c r="AI871" s="2"/>
      <c r="AJ871" s="2"/>
      <c r="AK871" s="2"/>
    </row>
    <row r="872" spans="1:37" ht="12.75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  <c r="AC872" s="2"/>
      <c r="AD872" s="2"/>
      <c r="AE872" s="2"/>
      <c r="AF872" s="2"/>
      <c r="AG872" s="2"/>
      <c r="AH872" s="2"/>
      <c r="AI872" s="2"/>
      <c r="AJ872" s="2"/>
      <c r="AK872" s="2"/>
    </row>
    <row r="873" spans="1:37" ht="12.75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  <c r="AC873" s="2"/>
      <c r="AD873" s="2"/>
      <c r="AE873" s="2"/>
      <c r="AF873" s="2"/>
      <c r="AG873" s="2"/>
      <c r="AH873" s="2"/>
      <c r="AI873" s="2"/>
      <c r="AJ873" s="2"/>
      <c r="AK873" s="2"/>
    </row>
    <row r="874" spans="1:37" ht="12.75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  <c r="AC874" s="2"/>
      <c r="AD874" s="2"/>
      <c r="AE874" s="2"/>
      <c r="AF874" s="2"/>
      <c r="AG874" s="2"/>
      <c r="AH874" s="2"/>
      <c r="AI874" s="2"/>
      <c r="AJ874" s="2"/>
      <c r="AK874" s="2"/>
    </row>
    <row r="875" spans="1:37" ht="12.7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  <c r="AC875" s="2"/>
      <c r="AD875" s="2"/>
      <c r="AE875" s="2"/>
      <c r="AF875" s="2"/>
      <c r="AG875" s="2"/>
      <c r="AH875" s="2"/>
      <c r="AI875" s="2"/>
      <c r="AJ875" s="2"/>
      <c r="AK875" s="2"/>
    </row>
    <row r="876" spans="1:37" ht="12.75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  <c r="AC876" s="2"/>
      <c r="AD876" s="2"/>
      <c r="AE876" s="2"/>
      <c r="AF876" s="2"/>
      <c r="AG876" s="2"/>
      <c r="AH876" s="2"/>
      <c r="AI876" s="2"/>
      <c r="AJ876" s="2"/>
      <c r="AK876" s="2"/>
    </row>
    <row r="877" spans="1:37" ht="12.75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  <c r="AC877" s="2"/>
      <c r="AD877" s="2"/>
      <c r="AE877" s="2"/>
      <c r="AF877" s="2"/>
      <c r="AG877" s="2"/>
      <c r="AH877" s="2"/>
      <c r="AI877" s="2"/>
      <c r="AJ877" s="2"/>
      <c r="AK877" s="2"/>
    </row>
    <row r="878" spans="1:37" ht="12.75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  <c r="AC878" s="2"/>
      <c r="AD878" s="2"/>
      <c r="AE878" s="2"/>
      <c r="AF878" s="2"/>
      <c r="AG878" s="2"/>
      <c r="AH878" s="2"/>
      <c r="AI878" s="2"/>
      <c r="AJ878" s="2"/>
      <c r="AK878" s="2"/>
    </row>
    <row r="879" spans="1:37" ht="12.75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  <c r="AC879" s="2"/>
      <c r="AD879" s="2"/>
      <c r="AE879" s="2"/>
      <c r="AF879" s="2"/>
      <c r="AG879" s="2"/>
      <c r="AH879" s="2"/>
      <c r="AI879" s="2"/>
      <c r="AJ879" s="2"/>
      <c r="AK879" s="2"/>
    </row>
    <row r="880" spans="1:37" ht="12.75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  <c r="AC880" s="2"/>
      <c r="AD880" s="2"/>
      <c r="AE880" s="2"/>
      <c r="AF880" s="2"/>
      <c r="AG880" s="2"/>
      <c r="AH880" s="2"/>
      <c r="AI880" s="2"/>
      <c r="AJ880" s="2"/>
      <c r="AK880" s="2"/>
    </row>
    <row r="881" spans="1:37" ht="12.75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  <c r="AC881" s="2"/>
      <c r="AD881" s="2"/>
      <c r="AE881" s="2"/>
      <c r="AF881" s="2"/>
      <c r="AG881" s="2"/>
      <c r="AH881" s="2"/>
      <c r="AI881" s="2"/>
      <c r="AJ881" s="2"/>
      <c r="AK881" s="2"/>
    </row>
    <row r="882" spans="1:37" ht="12.75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  <c r="AC882" s="2"/>
      <c r="AD882" s="2"/>
      <c r="AE882" s="2"/>
      <c r="AF882" s="2"/>
      <c r="AG882" s="2"/>
      <c r="AH882" s="2"/>
      <c r="AI882" s="2"/>
      <c r="AJ882" s="2"/>
      <c r="AK882" s="2"/>
    </row>
    <row r="883" spans="1:37" ht="12.75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  <c r="AC883" s="2"/>
      <c r="AD883" s="2"/>
      <c r="AE883" s="2"/>
      <c r="AF883" s="2"/>
      <c r="AG883" s="2"/>
      <c r="AH883" s="2"/>
      <c r="AI883" s="2"/>
      <c r="AJ883" s="2"/>
      <c r="AK883" s="2"/>
    </row>
    <row r="884" spans="1:37" ht="12.75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  <c r="AC884" s="2"/>
      <c r="AD884" s="2"/>
      <c r="AE884" s="2"/>
      <c r="AF884" s="2"/>
      <c r="AG884" s="2"/>
      <c r="AH884" s="2"/>
      <c r="AI884" s="2"/>
      <c r="AJ884" s="2"/>
      <c r="AK884" s="2"/>
    </row>
    <row r="885" spans="1:37" ht="12.7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  <c r="AC885" s="2"/>
      <c r="AD885" s="2"/>
      <c r="AE885" s="2"/>
      <c r="AF885" s="2"/>
      <c r="AG885" s="2"/>
      <c r="AH885" s="2"/>
      <c r="AI885" s="2"/>
      <c r="AJ885" s="2"/>
      <c r="AK885" s="2"/>
    </row>
    <row r="886" spans="1:37" ht="12.75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  <c r="AC886" s="2"/>
      <c r="AD886" s="2"/>
      <c r="AE886" s="2"/>
      <c r="AF886" s="2"/>
      <c r="AG886" s="2"/>
      <c r="AH886" s="2"/>
      <c r="AI886" s="2"/>
      <c r="AJ886" s="2"/>
      <c r="AK886" s="2"/>
    </row>
    <row r="887" spans="1:37" ht="12.75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  <c r="AC887" s="2"/>
      <c r="AD887" s="2"/>
      <c r="AE887" s="2"/>
      <c r="AF887" s="2"/>
      <c r="AG887" s="2"/>
      <c r="AH887" s="2"/>
      <c r="AI887" s="2"/>
      <c r="AJ887" s="2"/>
      <c r="AK887" s="2"/>
    </row>
    <row r="888" spans="1:37" ht="12.75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  <c r="AC888" s="2"/>
      <c r="AD888" s="2"/>
      <c r="AE888" s="2"/>
      <c r="AF888" s="2"/>
      <c r="AG888" s="2"/>
      <c r="AH888" s="2"/>
      <c r="AI888" s="2"/>
      <c r="AJ888" s="2"/>
      <c r="AK888" s="2"/>
    </row>
    <row r="889" spans="1:37" ht="12.75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  <c r="AC889" s="2"/>
      <c r="AD889" s="2"/>
      <c r="AE889" s="2"/>
      <c r="AF889" s="2"/>
      <c r="AG889" s="2"/>
      <c r="AH889" s="2"/>
      <c r="AI889" s="2"/>
      <c r="AJ889" s="2"/>
      <c r="AK889" s="2"/>
    </row>
    <row r="890" spans="1:37" ht="12.75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  <c r="AC890" s="2"/>
      <c r="AD890" s="2"/>
      <c r="AE890" s="2"/>
      <c r="AF890" s="2"/>
      <c r="AG890" s="2"/>
      <c r="AH890" s="2"/>
      <c r="AI890" s="2"/>
      <c r="AJ890" s="2"/>
      <c r="AK890" s="2"/>
    </row>
    <row r="891" spans="1:37" ht="12.75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  <c r="AC891" s="2"/>
      <c r="AD891" s="2"/>
      <c r="AE891" s="2"/>
      <c r="AF891" s="2"/>
      <c r="AG891" s="2"/>
      <c r="AH891" s="2"/>
      <c r="AI891" s="2"/>
      <c r="AJ891" s="2"/>
      <c r="AK891" s="2"/>
    </row>
    <row r="892" spans="1:37" ht="12.75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  <c r="AC892" s="2"/>
      <c r="AD892" s="2"/>
      <c r="AE892" s="2"/>
      <c r="AF892" s="2"/>
      <c r="AG892" s="2"/>
      <c r="AH892" s="2"/>
      <c r="AI892" s="2"/>
      <c r="AJ892" s="2"/>
      <c r="AK892" s="2"/>
    </row>
    <row r="893" spans="1:37" ht="12.75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  <c r="AC893" s="2"/>
      <c r="AD893" s="2"/>
      <c r="AE893" s="2"/>
      <c r="AF893" s="2"/>
      <c r="AG893" s="2"/>
      <c r="AH893" s="2"/>
      <c r="AI893" s="2"/>
      <c r="AJ893" s="2"/>
      <c r="AK893" s="2"/>
    </row>
    <row r="894" spans="1:37" ht="12.75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  <c r="AC894" s="2"/>
      <c r="AD894" s="2"/>
      <c r="AE894" s="2"/>
      <c r="AF894" s="2"/>
      <c r="AG894" s="2"/>
      <c r="AH894" s="2"/>
      <c r="AI894" s="2"/>
      <c r="AJ894" s="2"/>
      <c r="AK894" s="2"/>
    </row>
    <row r="895" spans="1:37" ht="12.7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  <c r="AC895" s="2"/>
      <c r="AD895" s="2"/>
      <c r="AE895" s="2"/>
      <c r="AF895" s="2"/>
      <c r="AG895" s="2"/>
      <c r="AH895" s="2"/>
      <c r="AI895" s="2"/>
      <c r="AJ895" s="2"/>
      <c r="AK895" s="2"/>
    </row>
    <row r="896" spans="1:37" ht="12.75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  <c r="AC896" s="2"/>
      <c r="AD896" s="2"/>
      <c r="AE896" s="2"/>
      <c r="AF896" s="2"/>
      <c r="AG896" s="2"/>
      <c r="AH896" s="2"/>
      <c r="AI896" s="2"/>
      <c r="AJ896" s="2"/>
      <c r="AK896" s="2"/>
    </row>
    <row r="897" spans="1:37" ht="12.75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  <c r="AC897" s="2"/>
      <c r="AD897" s="2"/>
      <c r="AE897" s="2"/>
      <c r="AF897" s="2"/>
      <c r="AG897" s="2"/>
      <c r="AH897" s="2"/>
      <c r="AI897" s="2"/>
      <c r="AJ897" s="2"/>
      <c r="AK897" s="2"/>
    </row>
    <row r="898" spans="1:37" ht="12.75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  <c r="AC898" s="2"/>
      <c r="AD898" s="2"/>
      <c r="AE898" s="2"/>
      <c r="AF898" s="2"/>
      <c r="AG898" s="2"/>
      <c r="AH898" s="2"/>
      <c r="AI898" s="2"/>
      <c r="AJ898" s="2"/>
      <c r="AK898" s="2"/>
    </row>
    <row r="899" spans="1:37" ht="12.75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  <c r="AC899" s="2"/>
      <c r="AD899" s="2"/>
      <c r="AE899" s="2"/>
      <c r="AF899" s="2"/>
      <c r="AG899" s="2"/>
      <c r="AH899" s="2"/>
      <c r="AI899" s="2"/>
      <c r="AJ899" s="2"/>
      <c r="AK899" s="2"/>
    </row>
    <row r="900" spans="1:37" ht="12.75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  <c r="AC900" s="2"/>
      <c r="AD900" s="2"/>
      <c r="AE900" s="2"/>
      <c r="AF900" s="2"/>
      <c r="AG900" s="2"/>
      <c r="AH900" s="2"/>
      <c r="AI900" s="2"/>
      <c r="AJ900" s="2"/>
      <c r="AK900" s="2"/>
    </row>
    <row r="901" spans="1:37" ht="12.75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  <c r="AC901" s="2"/>
      <c r="AD901" s="2"/>
      <c r="AE901" s="2"/>
      <c r="AF901" s="2"/>
      <c r="AG901" s="2"/>
      <c r="AH901" s="2"/>
      <c r="AI901" s="2"/>
      <c r="AJ901" s="2"/>
      <c r="AK901" s="2"/>
    </row>
    <row r="902" spans="1:37" ht="12.75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  <c r="AC902" s="2"/>
      <c r="AD902" s="2"/>
      <c r="AE902" s="2"/>
      <c r="AF902" s="2"/>
      <c r="AG902" s="2"/>
      <c r="AH902" s="2"/>
      <c r="AI902" s="2"/>
      <c r="AJ902" s="2"/>
      <c r="AK902" s="2"/>
    </row>
    <row r="903" spans="1:37" ht="12.75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  <c r="AC903" s="2"/>
      <c r="AD903" s="2"/>
      <c r="AE903" s="2"/>
      <c r="AF903" s="2"/>
      <c r="AG903" s="2"/>
      <c r="AH903" s="2"/>
      <c r="AI903" s="2"/>
      <c r="AJ903" s="2"/>
      <c r="AK903" s="2"/>
    </row>
    <row r="904" spans="1:37" ht="12.75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  <c r="AC904" s="2"/>
      <c r="AD904" s="2"/>
      <c r="AE904" s="2"/>
      <c r="AF904" s="2"/>
      <c r="AG904" s="2"/>
      <c r="AH904" s="2"/>
      <c r="AI904" s="2"/>
      <c r="AJ904" s="2"/>
      <c r="AK904" s="2"/>
    </row>
    <row r="905" spans="1:37" ht="12.7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  <c r="AC905" s="2"/>
      <c r="AD905" s="2"/>
      <c r="AE905" s="2"/>
      <c r="AF905" s="2"/>
      <c r="AG905" s="2"/>
      <c r="AH905" s="2"/>
      <c r="AI905" s="2"/>
      <c r="AJ905" s="2"/>
      <c r="AK905" s="2"/>
    </row>
    <row r="906" spans="1:37" ht="12.75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  <c r="AC906" s="2"/>
      <c r="AD906" s="2"/>
      <c r="AE906" s="2"/>
      <c r="AF906" s="2"/>
      <c r="AG906" s="2"/>
      <c r="AH906" s="2"/>
      <c r="AI906" s="2"/>
      <c r="AJ906" s="2"/>
      <c r="AK906" s="2"/>
    </row>
    <row r="907" spans="1:37" ht="12.75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  <c r="AC907" s="2"/>
      <c r="AD907" s="2"/>
      <c r="AE907" s="2"/>
      <c r="AF907" s="2"/>
      <c r="AG907" s="2"/>
      <c r="AH907" s="2"/>
      <c r="AI907" s="2"/>
      <c r="AJ907" s="2"/>
      <c r="AK907" s="2"/>
    </row>
    <row r="908" spans="1:37" ht="12.75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  <c r="AC908" s="2"/>
      <c r="AD908" s="2"/>
      <c r="AE908" s="2"/>
      <c r="AF908" s="2"/>
      <c r="AG908" s="2"/>
      <c r="AH908" s="2"/>
      <c r="AI908" s="2"/>
      <c r="AJ908" s="2"/>
      <c r="AK908" s="2"/>
    </row>
    <row r="909" spans="1:37" ht="12.75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  <c r="AC909" s="2"/>
      <c r="AD909" s="2"/>
      <c r="AE909" s="2"/>
      <c r="AF909" s="2"/>
      <c r="AG909" s="2"/>
      <c r="AH909" s="2"/>
      <c r="AI909" s="2"/>
      <c r="AJ909" s="2"/>
      <c r="AK909" s="2"/>
    </row>
    <row r="910" spans="1:37" ht="12.75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  <c r="AC910" s="2"/>
      <c r="AD910" s="2"/>
      <c r="AE910" s="2"/>
      <c r="AF910" s="2"/>
      <c r="AG910" s="2"/>
      <c r="AH910" s="2"/>
      <c r="AI910" s="2"/>
      <c r="AJ910" s="2"/>
      <c r="AK910" s="2"/>
    </row>
    <row r="911" spans="1:37" ht="12.75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  <c r="AC911" s="2"/>
      <c r="AD911" s="2"/>
      <c r="AE911" s="2"/>
      <c r="AF911" s="2"/>
      <c r="AG911" s="2"/>
      <c r="AH911" s="2"/>
      <c r="AI911" s="2"/>
      <c r="AJ911" s="2"/>
      <c r="AK911" s="2"/>
    </row>
    <row r="912" spans="1:37" ht="12.75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  <c r="AC912" s="2"/>
      <c r="AD912" s="2"/>
      <c r="AE912" s="2"/>
      <c r="AF912" s="2"/>
      <c r="AG912" s="2"/>
      <c r="AH912" s="2"/>
      <c r="AI912" s="2"/>
      <c r="AJ912" s="2"/>
      <c r="AK912" s="2"/>
    </row>
    <row r="913" spans="1:37" ht="12.75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  <c r="AC913" s="2"/>
      <c r="AD913" s="2"/>
      <c r="AE913" s="2"/>
      <c r="AF913" s="2"/>
      <c r="AG913" s="2"/>
      <c r="AH913" s="2"/>
      <c r="AI913" s="2"/>
      <c r="AJ913" s="2"/>
      <c r="AK913" s="2"/>
    </row>
    <row r="914" spans="1:37" ht="12.75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  <c r="AC914" s="2"/>
      <c r="AD914" s="2"/>
      <c r="AE914" s="2"/>
      <c r="AF914" s="2"/>
      <c r="AG914" s="2"/>
      <c r="AH914" s="2"/>
      <c r="AI914" s="2"/>
      <c r="AJ914" s="2"/>
      <c r="AK914" s="2"/>
    </row>
    <row r="915" spans="1:37" ht="12.7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  <c r="AC915" s="2"/>
      <c r="AD915" s="2"/>
      <c r="AE915" s="2"/>
      <c r="AF915" s="2"/>
      <c r="AG915" s="2"/>
      <c r="AH915" s="2"/>
      <c r="AI915" s="2"/>
      <c r="AJ915" s="2"/>
      <c r="AK915" s="2"/>
    </row>
    <row r="916" spans="1:37" ht="12.75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  <c r="AC916" s="2"/>
      <c r="AD916" s="2"/>
      <c r="AE916" s="2"/>
      <c r="AF916" s="2"/>
      <c r="AG916" s="2"/>
      <c r="AH916" s="2"/>
      <c r="AI916" s="2"/>
      <c r="AJ916" s="2"/>
      <c r="AK916" s="2"/>
    </row>
    <row r="917" spans="1:37" ht="12.75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  <c r="AC917" s="2"/>
      <c r="AD917" s="2"/>
      <c r="AE917" s="2"/>
      <c r="AF917" s="2"/>
      <c r="AG917" s="2"/>
      <c r="AH917" s="2"/>
      <c r="AI917" s="2"/>
      <c r="AJ917" s="2"/>
      <c r="AK917" s="2"/>
    </row>
    <row r="918" spans="1:37" ht="12.75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  <c r="AC918" s="2"/>
      <c r="AD918" s="2"/>
      <c r="AE918" s="2"/>
      <c r="AF918" s="2"/>
      <c r="AG918" s="2"/>
      <c r="AH918" s="2"/>
      <c r="AI918" s="2"/>
      <c r="AJ918" s="2"/>
      <c r="AK918" s="2"/>
    </row>
    <row r="919" spans="1:37" ht="12.75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  <c r="AC919" s="2"/>
      <c r="AD919" s="2"/>
      <c r="AE919" s="2"/>
      <c r="AF919" s="2"/>
      <c r="AG919" s="2"/>
      <c r="AH919" s="2"/>
      <c r="AI919" s="2"/>
      <c r="AJ919" s="2"/>
      <c r="AK919" s="2"/>
    </row>
    <row r="920" spans="1:37" ht="12.75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  <c r="AC920" s="2"/>
      <c r="AD920" s="2"/>
      <c r="AE920" s="2"/>
      <c r="AF920" s="2"/>
      <c r="AG920" s="2"/>
      <c r="AH920" s="2"/>
      <c r="AI920" s="2"/>
      <c r="AJ920" s="2"/>
      <c r="AK920" s="2"/>
    </row>
    <row r="921" spans="1:37" ht="12.75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  <c r="AC921" s="2"/>
      <c r="AD921" s="2"/>
      <c r="AE921" s="2"/>
      <c r="AF921" s="2"/>
      <c r="AG921" s="2"/>
      <c r="AH921" s="2"/>
      <c r="AI921" s="2"/>
      <c r="AJ921" s="2"/>
      <c r="AK921" s="2"/>
    </row>
    <row r="922" spans="1:37" ht="12.75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  <c r="AC922" s="2"/>
      <c r="AD922" s="2"/>
      <c r="AE922" s="2"/>
      <c r="AF922" s="2"/>
      <c r="AG922" s="2"/>
      <c r="AH922" s="2"/>
      <c r="AI922" s="2"/>
      <c r="AJ922" s="2"/>
      <c r="AK922" s="2"/>
    </row>
    <row r="923" spans="1:37" ht="12.75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  <c r="AC923" s="2"/>
      <c r="AD923" s="2"/>
      <c r="AE923" s="2"/>
      <c r="AF923" s="2"/>
      <c r="AG923" s="2"/>
      <c r="AH923" s="2"/>
      <c r="AI923" s="2"/>
      <c r="AJ923" s="2"/>
      <c r="AK923" s="2"/>
    </row>
    <row r="924" spans="1:37" ht="12.75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  <c r="AC924" s="2"/>
      <c r="AD924" s="2"/>
      <c r="AE924" s="2"/>
      <c r="AF924" s="2"/>
      <c r="AG924" s="2"/>
      <c r="AH924" s="2"/>
      <c r="AI924" s="2"/>
      <c r="AJ924" s="2"/>
      <c r="AK924" s="2"/>
    </row>
    <row r="925" spans="1:37" ht="12.7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  <c r="AC925" s="2"/>
      <c r="AD925" s="2"/>
      <c r="AE925" s="2"/>
      <c r="AF925" s="2"/>
      <c r="AG925" s="2"/>
      <c r="AH925" s="2"/>
      <c r="AI925" s="2"/>
      <c r="AJ925" s="2"/>
      <c r="AK925" s="2"/>
    </row>
    <row r="926" spans="1:37" ht="12.75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  <c r="AC926" s="2"/>
      <c r="AD926" s="2"/>
      <c r="AE926" s="2"/>
      <c r="AF926" s="2"/>
      <c r="AG926" s="2"/>
      <c r="AH926" s="2"/>
      <c r="AI926" s="2"/>
      <c r="AJ926" s="2"/>
      <c r="AK926" s="2"/>
    </row>
    <row r="927" spans="1:37" ht="12.75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  <c r="AC927" s="2"/>
      <c r="AD927" s="2"/>
      <c r="AE927" s="2"/>
      <c r="AF927" s="2"/>
      <c r="AG927" s="2"/>
      <c r="AH927" s="2"/>
      <c r="AI927" s="2"/>
      <c r="AJ927" s="2"/>
      <c r="AK927" s="2"/>
    </row>
    <row r="928" spans="1:37" ht="12.75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  <c r="AC928" s="2"/>
      <c r="AD928" s="2"/>
      <c r="AE928" s="2"/>
      <c r="AF928" s="2"/>
      <c r="AG928" s="2"/>
      <c r="AH928" s="2"/>
      <c r="AI928" s="2"/>
      <c r="AJ928" s="2"/>
      <c r="AK928" s="2"/>
    </row>
    <row r="929" spans="1:37" ht="12.75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  <c r="AC929" s="2"/>
      <c r="AD929" s="2"/>
      <c r="AE929" s="2"/>
      <c r="AF929" s="2"/>
      <c r="AG929" s="2"/>
      <c r="AH929" s="2"/>
      <c r="AI929" s="2"/>
      <c r="AJ929" s="2"/>
      <c r="AK929" s="2"/>
    </row>
    <row r="930" spans="1:37" ht="12.75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  <c r="AC930" s="2"/>
      <c r="AD930" s="2"/>
      <c r="AE930" s="2"/>
      <c r="AF930" s="2"/>
      <c r="AG930" s="2"/>
      <c r="AH930" s="2"/>
      <c r="AI930" s="2"/>
      <c r="AJ930" s="2"/>
      <c r="AK930" s="2"/>
    </row>
    <row r="931" spans="1:37" ht="12.75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  <c r="AC931" s="2"/>
      <c r="AD931" s="2"/>
      <c r="AE931" s="2"/>
      <c r="AF931" s="2"/>
      <c r="AG931" s="2"/>
      <c r="AH931" s="2"/>
      <c r="AI931" s="2"/>
      <c r="AJ931" s="2"/>
      <c r="AK931" s="2"/>
    </row>
    <row r="932" spans="1:37" ht="12.75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  <c r="AC932" s="2"/>
      <c r="AD932" s="2"/>
      <c r="AE932" s="2"/>
      <c r="AF932" s="2"/>
      <c r="AG932" s="2"/>
      <c r="AH932" s="2"/>
      <c r="AI932" s="2"/>
      <c r="AJ932" s="2"/>
      <c r="AK932" s="2"/>
    </row>
    <row r="933" spans="1:37" ht="12.75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  <c r="AC933" s="2"/>
      <c r="AD933" s="2"/>
      <c r="AE933" s="2"/>
      <c r="AF933" s="2"/>
      <c r="AG933" s="2"/>
      <c r="AH933" s="2"/>
      <c r="AI933" s="2"/>
      <c r="AJ933" s="2"/>
      <c r="AK933" s="2"/>
    </row>
    <row r="934" spans="1:37" ht="12.75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  <c r="AC934" s="2"/>
      <c r="AD934" s="2"/>
      <c r="AE934" s="2"/>
      <c r="AF934" s="2"/>
      <c r="AG934" s="2"/>
      <c r="AH934" s="2"/>
      <c r="AI934" s="2"/>
      <c r="AJ934" s="2"/>
      <c r="AK934" s="2"/>
    </row>
    <row r="935" spans="1:37" ht="12.7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  <c r="AC935" s="2"/>
      <c r="AD935" s="2"/>
      <c r="AE935" s="2"/>
      <c r="AF935" s="2"/>
      <c r="AG935" s="2"/>
      <c r="AH935" s="2"/>
      <c r="AI935" s="2"/>
      <c r="AJ935" s="2"/>
      <c r="AK935" s="2"/>
    </row>
    <row r="936" spans="1:37" ht="12.75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  <c r="AC936" s="2"/>
      <c r="AD936" s="2"/>
      <c r="AE936" s="2"/>
      <c r="AF936" s="2"/>
      <c r="AG936" s="2"/>
      <c r="AH936" s="2"/>
      <c r="AI936" s="2"/>
      <c r="AJ936" s="2"/>
      <c r="AK936" s="2"/>
    </row>
    <row r="937" spans="1:37" ht="12.75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  <c r="AC937" s="2"/>
      <c r="AD937" s="2"/>
      <c r="AE937" s="2"/>
      <c r="AF937" s="2"/>
      <c r="AG937" s="2"/>
      <c r="AH937" s="2"/>
      <c r="AI937" s="2"/>
      <c r="AJ937" s="2"/>
      <c r="AK937" s="2"/>
    </row>
    <row r="938" spans="1:37" ht="12.75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  <c r="AC938" s="2"/>
      <c r="AD938" s="2"/>
      <c r="AE938" s="2"/>
      <c r="AF938" s="2"/>
      <c r="AG938" s="2"/>
      <c r="AH938" s="2"/>
      <c r="AI938" s="2"/>
      <c r="AJ938" s="2"/>
      <c r="AK938" s="2"/>
    </row>
    <row r="939" spans="1:37" ht="12.75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  <c r="AC939" s="2"/>
      <c r="AD939" s="2"/>
      <c r="AE939" s="2"/>
      <c r="AF939" s="2"/>
      <c r="AG939" s="2"/>
      <c r="AH939" s="2"/>
      <c r="AI939" s="2"/>
      <c r="AJ939" s="2"/>
      <c r="AK939" s="2"/>
    </row>
    <row r="940" spans="1:37" ht="12.75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  <c r="AC940" s="2"/>
      <c r="AD940" s="2"/>
      <c r="AE940" s="2"/>
      <c r="AF940" s="2"/>
      <c r="AG940" s="2"/>
      <c r="AH940" s="2"/>
      <c r="AI940" s="2"/>
      <c r="AJ940" s="2"/>
      <c r="AK940" s="2"/>
    </row>
    <row r="941" spans="1:37" ht="12.75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  <c r="AC941" s="2"/>
      <c r="AD941" s="2"/>
      <c r="AE941" s="2"/>
      <c r="AF941" s="2"/>
      <c r="AG941" s="2"/>
      <c r="AH941" s="2"/>
      <c r="AI941" s="2"/>
      <c r="AJ941" s="2"/>
      <c r="AK941" s="2"/>
    </row>
    <row r="942" spans="1:37" ht="12.75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  <c r="AC942" s="2"/>
      <c r="AD942" s="2"/>
      <c r="AE942" s="2"/>
      <c r="AF942" s="2"/>
      <c r="AG942" s="2"/>
      <c r="AH942" s="2"/>
      <c r="AI942" s="2"/>
      <c r="AJ942" s="2"/>
      <c r="AK942" s="2"/>
    </row>
    <row r="943" spans="1:37" ht="12.75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  <c r="AC943" s="2"/>
      <c r="AD943" s="2"/>
      <c r="AE943" s="2"/>
      <c r="AF943" s="2"/>
      <c r="AG943" s="2"/>
      <c r="AH943" s="2"/>
      <c r="AI943" s="2"/>
      <c r="AJ943" s="2"/>
      <c r="AK943" s="2"/>
    </row>
    <row r="944" spans="1:37" ht="12.75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  <c r="AC944" s="2"/>
      <c r="AD944" s="2"/>
      <c r="AE944" s="2"/>
      <c r="AF944" s="2"/>
      <c r="AG944" s="2"/>
      <c r="AH944" s="2"/>
      <c r="AI944" s="2"/>
      <c r="AJ944" s="2"/>
      <c r="AK944" s="2"/>
    </row>
    <row r="945" spans="1:37" ht="12.7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  <c r="AC945" s="2"/>
      <c r="AD945" s="2"/>
      <c r="AE945" s="2"/>
      <c r="AF945" s="2"/>
      <c r="AG945" s="2"/>
      <c r="AH945" s="2"/>
      <c r="AI945" s="2"/>
      <c r="AJ945" s="2"/>
      <c r="AK945" s="2"/>
    </row>
    <row r="946" spans="1:37" ht="12.75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  <c r="AC946" s="2"/>
      <c r="AD946" s="2"/>
      <c r="AE946" s="2"/>
      <c r="AF946" s="2"/>
      <c r="AG946" s="2"/>
      <c r="AH946" s="2"/>
      <c r="AI946" s="2"/>
      <c r="AJ946" s="2"/>
      <c r="AK946" s="2"/>
    </row>
    <row r="947" spans="1:37" ht="12.75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  <c r="AC947" s="2"/>
      <c r="AD947" s="2"/>
      <c r="AE947" s="2"/>
      <c r="AF947" s="2"/>
      <c r="AG947" s="2"/>
      <c r="AH947" s="2"/>
      <c r="AI947" s="2"/>
      <c r="AJ947" s="2"/>
      <c r="AK947" s="2"/>
    </row>
    <row r="948" spans="1:37" ht="12.75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  <c r="AC948" s="2"/>
      <c r="AD948" s="2"/>
      <c r="AE948" s="2"/>
      <c r="AF948" s="2"/>
      <c r="AG948" s="2"/>
      <c r="AH948" s="2"/>
      <c r="AI948" s="2"/>
      <c r="AJ948" s="2"/>
      <c r="AK948" s="2"/>
    </row>
    <row r="949" spans="1:37" ht="12.75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  <c r="AC949" s="2"/>
      <c r="AD949" s="2"/>
      <c r="AE949" s="2"/>
      <c r="AF949" s="2"/>
      <c r="AG949" s="2"/>
      <c r="AH949" s="2"/>
      <c r="AI949" s="2"/>
      <c r="AJ949" s="2"/>
      <c r="AK949" s="2"/>
    </row>
    <row r="950" spans="1:37" ht="12.75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  <c r="AC950" s="2"/>
      <c r="AD950" s="2"/>
      <c r="AE950" s="2"/>
      <c r="AF950" s="2"/>
      <c r="AG950" s="2"/>
      <c r="AH950" s="2"/>
      <c r="AI950" s="2"/>
      <c r="AJ950" s="2"/>
      <c r="AK950" s="2"/>
    </row>
    <row r="951" spans="1:37" ht="12.75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  <c r="AC951" s="2"/>
      <c r="AD951" s="2"/>
      <c r="AE951" s="2"/>
      <c r="AF951" s="2"/>
      <c r="AG951" s="2"/>
      <c r="AH951" s="2"/>
      <c r="AI951" s="2"/>
      <c r="AJ951" s="2"/>
      <c r="AK951" s="2"/>
    </row>
    <row r="952" spans="1:37" ht="12.75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  <c r="AC952" s="2"/>
      <c r="AD952" s="2"/>
      <c r="AE952" s="2"/>
      <c r="AF952" s="2"/>
      <c r="AG952" s="2"/>
      <c r="AH952" s="2"/>
      <c r="AI952" s="2"/>
      <c r="AJ952" s="2"/>
      <c r="AK952" s="2"/>
    </row>
    <row r="953" spans="1:37" ht="12.75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  <c r="AC953" s="2"/>
      <c r="AD953" s="2"/>
      <c r="AE953" s="2"/>
      <c r="AF953" s="2"/>
      <c r="AG953" s="2"/>
      <c r="AH953" s="2"/>
      <c r="AI953" s="2"/>
      <c r="AJ953" s="2"/>
      <c r="AK953" s="2"/>
    </row>
    <row r="954" spans="1:37" ht="12.75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  <c r="AC954" s="2"/>
      <c r="AD954" s="2"/>
      <c r="AE954" s="2"/>
      <c r="AF954" s="2"/>
      <c r="AG954" s="2"/>
      <c r="AH954" s="2"/>
      <c r="AI954" s="2"/>
      <c r="AJ954" s="2"/>
      <c r="AK954" s="2"/>
    </row>
    <row r="955" spans="1:37" ht="12.7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  <c r="AC955" s="2"/>
      <c r="AD955" s="2"/>
      <c r="AE955" s="2"/>
      <c r="AF955" s="2"/>
      <c r="AG955" s="2"/>
      <c r="AH955" s="2"/>
      <c r="AI955" s="2"/>
      <c r="AJ955" s="2"/>
      <c r="AK955" s="2"/>
    </row>
    <row r="956" spans="1:37" ht="12.75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  <c r="AC956" s="2"/>
      <c r="AD956" s="2"/>
      <c r="AE956" s="2"/>
      <c r="AF956" s="2"/>
      <c r="AG956" s="2"/>
      <c r="AH956" s="2"/>
      <c r="AI956" s="2"/>
      <c r="AJ956" s="2"/>
      <c r="AK956" s="2"/>
    </row>
    <row r="957" spans="1:37" ht="12.75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  <c r="AC957" s="2"/>
      <c r="AD957" s="2"/>
      <c r="AE957" s="2"/>
      <c r="AF957" s="2"/>
      <c r="AG957" s="2"/>
      <c r="AH957" s="2"/>
      <c r="AI957" s="2"/>
      <c r="AJ957" s="2"/>
      <c r="AK957" s="2"/>
    </row>
    <row r="958" spans="1:37" ht="12.75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  <c r="AC958" s="2"/>
      <c r="AD958" s="2"/>
      <c r="AE958" s="2"/>
      <c r="AF958" s="2"/>
      <c r="AG958" s="2"/>
      <c r="AH958" s="2"/>
      <c r="AI958" s="2"/>
      <c r="AJ958" s="2"/>
      <c r="AK958" s="2"/>
    </row>
    <row r="959" spans="1:37" ht="12.75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  <c r="AC959" s="2"/>
      <c r="AD959" s="2"/>
      <c r="AE959" s="2"/>
      <c r="AF959" s="2"/>
      <c r="AG959" s="2"/>
      <c r="AH959" s="2"/>
      <c r="AI959" s="2"/>
      <c r="AJ959" s="2"/>
      <c r="AK959" s="2"/>
    </row>
    <row r="960" spans="1:37" ht="12.75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  <c r="AC960" s="2"/>
      <c r="AD960" s="2"/>
      <c r="AE960" s="2"/>
      <c r="AF960" s="2"/>
      <c r="AG960" s="2"/>
      <c r="AH960" s="2"/>
      <c r="AI960" s="2"/>
      <c r="AJ960" s="2"/>
      <c r="AK960" s="2"/>
    </row>
    <row r="961" spans="1:37" ht="12.75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  <c r="AC961" s="2"/>
      <c r="AD961" s="2"/>
      <c r="AE961" s="2"/>
      <c r="AF961" s="2"/>
      <c r="AG961" s="2"/>
      <c r="AH961" s="2"/>
      <c r="AI961" s="2"/>
      <c r="AJ961" s="2"/>
      <c r="AK961" s="2"/>
    </row>
    <row r="962" spans="1:37" ht="12.75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  <c r="AC962" s="2"/>
      <c r="AD962" s="2"/>
      <c r="AE962" s="2"/>
      <c r="AF962" s="2"/>
      <c r="AG962" s="2"/>
      <c r="AH962" s="2"/>
      <c r="AI962" s="2"/>
      <c r="AJ962" s="2"/>
      <c r="AK962" s="2"/>
    </row>
    <row r="963" spans="1:37" ht="12.75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  <c r="AC963" s="2"/>
      <c r="AD963" s="2"/>
      <c r="AE963" s="2"/>
      <c r="AF963" s="2"/>
      <c r="AG963" s="2"/>
      <c r="AH963" s="2"/>
      <c r="AI963" s="2"/>
      <c r="AJ963" s="2"/>
      <c r="AK963" s="2"/>
    </row>
    <row r="964" spans="1:37" ht="12.75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  <c r="AC964" s="2"/>
      <c r="AD964" s="2"/>
      <c r="AE964" s="2"/>
      <c r="AF964" s="2"/>
      <c r="AG964" s="2"/>
      <c r="AH964" s="2"/>
      <c r="AI964" s="2"/>
      <c r="AJ964" s="2"/>
      <c r="AK964" s="2"/>
    </row>
    <row r="965" spans="1:37" ht="12.7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  <c r="AC965" s="2"/>
      <c r="AD965" s="2"/>
      <c r="AE965" s="2"/>
      <c r="AF965" s="2"/>
      <c r="AG965" s="2"/>
      <c r="AH965" s="2"/>
      <c r="AI965" s="2"/>
      <c r="AJ965" s="2"/>
      <c r="AK965" s="2"/>
    </row>
    <row r="966" spans="1:37" ht="12.75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  <c r="AC966" s="2"/>
      <c r="AD966" s="2"/>
      <c r="AE966" s="2"/>
      <c r="AF966" s="2"/>
      <c r="AG966" s="2"/>
      <c r="AH966" s="2"/>
      <c r="AI966" s="2"/>
      <c r="AJ966" s="2"/>
      <c r="AK966" s="2"/>
    </row>
    <row r="967" spans="1:37" ht="12.75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  <c r="AC967" s="2"/>
      <c r="AD967" s="2"/>
      <c r="AE967" s="2"/>
      <c r="AF967" s="2"/>
      <c r="AG967" s="2"/>
      <c r="AH967" s="2"/>
      <c r="AI967" s="2"/>
      <c r="AJ967" s="2"/>
      <c r="AK967" s="2"/>
    </row>
    <row r="968" spans="1:37" ht="12.75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  <c r="AC968" s="2"/>
      <c r="AD968" s="2"/>
      <c r="AE968" s="2"/>
      <c r="AF968" s="2"/>
      <c r="AG968" s="2"/>
      <c r="AH968" s="2"/>
      <c r="AI968" s="2"/>
      <c r="AJ968" s="2"/>
      <c r="AK968" s="2"/>
    </row>
    <row r="969" spans="1:37" ht="12.75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  <c r="AC969" s="2"/>
      <c r="AD969" s="2"/>
      <c r="AE969" s="2"/>
      <c r="AF969" s="2"/>
      <c r="AG969" s="2"/>
      <c r="AH969" s="2"/>
      <c r="AI969" s="2"/>
      <c r="AJ969" s="2"/>
      <c r="AK969" s="2"/>
    </row>
    <row r="970" spans="1:37" ht="12.75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  <c r="AC970" s="2"/>
      <c r="AD970" s="2"/>
      <c r="AE970" s="2"/>
      <c r="AF970" s="2"/>
      <c r="AG970" s="2"/>
      <c r="AH970" s="2"/>
      <c r="AI970" s="2"/>
      <c r="AJ970" s="2"/>
      <c r="AK970" s="2"/>
    </row>
    <row r="971" spans="1:37" ht="12.75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  <c r="AC971" s="2"/>
      <c r="AD971" s="2"/>
      <c r="AE971" s="2"/>
      <c r="AF971" s="2"/>
      <c r="AG971" s="2"/>
      <c r="AH971" s="2"/>
      <c r="AI971" s="2"/>
      <c r="AJ971" s="2"/>
      <c r="AK971" s="2"/>
    </row>
    <row r="972" spans="1:37" ht="12.75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  <c r="AC972" s="2"/>
      <c r="AD972" s="2"/>
      <c r="AE972" s="2"/>
      <c r="AF972" s="2"/>
      <c r="AG972" s="2"/>
      <c r="AH972" s="2"/>
      <c r="AI972" s="2"/>
      <c r="AJ972" s="2"/>
      <c r="AK972" s="2"/>
    </row>
    <row r="973" spans="1:37" ht="12.75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  <c r="AC973" s="2"/>
      <c r="AD973" s="2"/>
      <c r="AE973" s="2"/>
      <c r="AF973" s="2"/>
      <c r="AG973" s="2"/>
      <c r="AH973" s="2"/>
      <c r="AI973" s="2"/>
      <c r="AJ973" s="2"/>
      <c r="AK973" s="2"/>
    </row>
    <row r="974" spans="1:37" ht="12.75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  <c r="AC974" s="2"/>
      <c r="AD974" s="2"/>
      <c r="AE974" s="2"/>
      <c r="AF974" s="2"/>
      <c r="AG974" s="2"/>
      <c r="AH974" s="2"/>
      <c r="AI974" s="2"/>
      <c r="AJ974" s="2"/>
      <c r="AK974" s="2"/>
    </row>
    <row r="975" spans="1:37" ht="12.7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  <c r="AC975" s="2"/>
      <c r="AD975" s="2"/>
      <c r="AE975" s="2"/>
      <c r="AF975" s="2"/>
      <c r="AG975" s="2"/>
      <c r="AH975" s="2"/>
      <c r="AI975" s="2"/>
      <c r="AJ975" s="2"/>
      <c r="AK975" s="2"/>
    </row>
    <row r="976" spans="1:37" ht="12.75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  <c r="AC976" s="2"/>
      <c r="AD976" s="2"/>
      <c r="AE976" s="2"/>
      <c r="AF976" s="2"/>
      <c r="AG976" s="2"/>
      <c r="AH976" s="2"/>
      <c r="AI976" s="2"/>
      <c r="AJ976" s="2"/>
      <c r="AK976" s="2"/>
    </row>
    <row r="977" spans="1:37" ht="12.75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  <c r="AC977" s="2"/>
      <c r="AD977" s="2"/>
      <c r="AE977" s="2"/>
      <c r="AF977" s="2"/>
      <c r="AG977" s="2"/>
      <c r="AH977" s="2"/>
      <c r="AI977" s="2"/>
      <c r="AJ977" s="2"/>
      <c r="AK977" s="2"/>
    </row>
    <row r="978" spans="1:37" ht="12.75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  <c r="AC978" s="2"/>
      <c r="AD978" s="2"/>
      <c r="AE978" s="2"/>
      <c r="AF978" s="2"/>
      <c r="AG978" s="2"/>
      <c r="AH978" s="2"/>
      <c r="AI978" s="2"/>
      <c r="AJ978" s="2"/>
      <c r="AK978" s="2"/>
    </row>
    <row r="979" spans="1:37" ht="12.75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  <c r="AC979" s="2"/>
      <c r="AD979" s="2"/>
      <c r="AE979" s="2"/>
      <c r="AF979" s="2"/>
      <c r="AG979" s="2"/>
      <c r="AH979" s="2"/>
      <c r="AI979" s="2"/>
      <c r="AJ979" s="2"/>
      <c r="AK979" s="2"/>
    </row>
    <row r="980" spans="1:37" ht="12.75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  <c r="AC980" s="2"/>
      <c r="AD980" s="2"/>
      <c r="AE980" s="2"/>
      <c r="AF980" s="2"/>
      <c r="AG980" s="2"/>
      <c r="AH980" s="2"/>
      <c r="AI980" s="2"/>
      <c r="AJ980" s="2"/>
      <c r="AK980" s="2"/>
    </row>
    <row r="981" spans="1:37" ht="12.75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  <c r="AC981" s="2"/>
      <c r="AD981" s="2"/>
      <c r="AE981" s="2"/>
      <c r="AF981" s="2"/>
      <c r="AG981" s="2"/>
      <c r="AH981" s="2"/>
      <c r="AI981" s="2"/>
      <c r="AJ981" s="2"/>
      <c r="AK981" s="2"/>
    </row>
    <row r="982" spans="1:37" ht="12.75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  <c r="AC982" s="2"/>
      <c r="AD982" s="2"/>
      <c r="AE982" s="2"/>
      <c r="AF982" s="2"/>
      <c r="AG982" s="2"/>
      <c r="AH982" s="2"/>
      <c r="AI982" s="2"/>
      <c r="AJ982" s="2"/>
      <c r="AK982" s="2"/>
    </row>
    <row r="983" spans="1:37" ht="12.75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  <c r="AC983" s="2"/>
      <c r="AD983" s="2"/>
      <c r="AE983" s="2"/>
      <c r="AF983" s="2"/>
      <c r="AG983" s="2"/>
      <c r="AH983" s="2"/>
      <c r="AI983" s="2"/>
      <c r="AJ983" s="2"/>
      <c r="AK983" s="2"/>
    </row>
    <row r="984" spans="1:37" ht="12.75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  <c r="AC984" s="2"/>
      <c r="AD984" s="2"/>
      <c r="AE984" s="2"/>
      <c r="AF984" s="2"/>
      <c r="AG984" s="2"/>
      <c r="AH984" s="2"/>
      <c r="AI984" s="2"/>
      <c r="AJ984" s="2"/>
      <c r="AK984" s="2"/>
    </row>
    <row r="985" spans="1:37" ht="12.7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  <c r="AC985" s="2"/>
      <c r="AD985" s="2"/>
      <c r="AE985" s="2"/>
      <c r="AF985" s="2"/>
      <c r="AG985" s="2"/>
      <c r="AH985" s="2"/>
      <c r="AI985" s="2"/>
      <c r="AJ985" s="2"/>
      <c r="AK985" s="2"/>
    </row>
    <row r="986" spans="1:37" ht="12.75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  <c r="AC986" s="2"/>
      <c r="AD986" s="2"/>
      <c r="AE986" s="2"/>
      <c r="AF986" s="2"/>
      <c r="AG986" s="2"/>
      <c r="AH986" s="2"/>
      <c r="AI986" s="2"/>
      <c r="AJ986" s="2"/>
      <c r="AK986" s="2"/>
    </row>
    <row r="987" spans="1:37" ht="12.75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  <c r="AC987" s="2"/>
      <c r="AD987" s="2"/>
      <c r="AE987" s="2"/>
      <c r="AF987" s="2"/>
      <c r="AG987" s="2"/>
      <c r="AH987" s="2"/>
      <c r="AI987" s="2"/>
      <c r="AJ987" s="2"/>
      <c r="AK987" s="2"/>
    </row>
    <row r="988" spans="1:37" ht="12.75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  <c r="AC988" s="2"/>
      <c r="AD988" s="2"/>
      <c r="AE988" s="2"/>
      <c r="AF988" s="2"/>
      <c r="AG988" s="2"/>
      <c r="AH988" s="2"/>
      <c r="AI988" s="2"/>
      <c r="AJ988" s="2"/>
      <c r="AK988" s="2"/>
    </row>
    <row r="989" spans="1:37" ht="12.75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  <c r="AC989" s="2"/>
      <c r="AD989" s="2"/>
      <c r="AE989" s="2"/>
      <c r="AF989" s="2"/>
      <c r="AG989" s="2"/>
      <c r="AH989" s="2"/>
      <c r="AI989" s="2"/>
      <c r="AJ989" s="2"/>
      <c r="AK989" s="2"/>
    </row>
    <row r="990" spans="1:37" ht="12.75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  <c r="AC990" s="2"/>
      <c r="AD990" s="2"/>
      <c r="AE990" s="2"/>
      <c r="AF990" s="2"/>
      <c r="AG990" s="2"/>
      <c r="AH990" s="2"/>
      <c r="AI990" s="2"/>
      <c r="AJ990" s="2"/>
      <c r="AK990" s="2"/>
    </row>
    <row r="991" spans="1:37" ht="12.75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  <c r="AC991" s="2"/>
      <c r="AD991" s="2"/>
      <c r="AE991" s="2"/>
      <c r="AF991" s="2"/>
      <c r="AG991" s="2"/>
      <c r="AH991" s="2"/>
      <c r="AI991" s="2"/>
      <c r="AJ991" s="2"/>
      <c r="AK991" s="2"/>
    </row>
    <row r="992" spans="1:37" ht="12.75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  <c r="AC992" s="2"/>
      <c r="AD992" s="2"/>
      <c r="AE992" s="2"/>
      <c r="AF992" s="2"/>
      <c r="AG992" s="2"/>
      <c r="AH992" s="2"/>
      <c r="AI992" s="2"/>
      <c r="AJ992" s="2"/>
      <c r="AK992" s="2"/>
    </row>
    <row r="993" spans="1:37" ht="12.75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  <c r="AC993" s="2"/>
      <c r="AD993" s="2"/>
      <c r="AE993" s="2"/>
      <c r="AF993" s="2"/>
      <c r="AG993" s="2"/>
      <c r="AH993" s="2"/>
      <c r="AI993" s="2"/>
      <c r="AJ993" s="2"/>
      <c r="AK993" s="2"/>
    </row>
    <row r="994" spans="1:37" ht="12.75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  <c r="AC994" s="2"/>
      <c r="AD994" s="2"/>
      <c r="AE994" s="2"/>
      <c r="AF994" s="2"/>
      <c r="AG994" s="2"/>
      <c r="AH994" s="2"/>
      <c r="AI994" s="2"/>
      <c r="AJ994" s="2"/>
      <c r="AK994" s="2"/>
    </row>
  </sheetData>
  <customSheetViews>
    <customSheetView guid="{ABA398B3-63A0-4FD0-96CF-1A25AD5B6FFE}" filter="1" showAutoFilter="1">
      <pageMargins left="0.7" right="0.7" top="0.75" bottom="0.75" header="0.3" footer="0.3"/>
      <autoFilter ref="A2:C86" xr:uid="{7F4C7AB2-441C-4793-BF50-54159ED623D9}">
        <sortState xmlns:xlrd2="http://schemas.microsoft.com/office/spreadsheetml/2017/richdata2" ref="A2:C86">
          <sortCondition descending="1" ref="B2:B86"/>
        </sortState>
      </autoFilter>
    </customSheetView>
  </customSheetViews>
  <mergeCells count="115">
    <mergeCell ref="U92:V92"/>
    <mergeCell ref="G92:H92"/>
    <mergeCell ref="G93:H93"/>
    <mergeCell ref="I93:J93"/>
    <mergeCell ref="K93:L93"/>
    <mergeCell ref="M93:N93"/>
    <mergeCell ref="O93:P93"/>
    <mergeCell ref="Q93:R93"/>
    <mergeCell ref="S88:T88"/>
    <mergeCell ref="U88:V88"/>
    <mergeCell ref="S93:T93"/>
    <mergeCell ref="U93:V93"/>
    <mergeCell ref="S90:T90"/>
    <mergeCell ref="U90:V90"/>
    <mergeCell ref="S91:T91"/>
    <mergeCell ref="U91:V91"/>
    <mergeCell ref="I92:J92"/>
    <mergeCell ref="K92:L92"/>
    <mergeCell ref="M92:N92"/>
    <mergeCell ref="O92:P92"/>
    <mergeCell ref="Q92:R92"/>
    <mergeCell ref="S92:T92"/>
    <mergeCell ref="F88:F89"/>
    <mergeCell ref="G88:H88"/>
    <mergeCell ref="I88:J88"/>
    <mergeCell ref="K88:L88"/>
    <mergeCell ref="M88:N88"/>
    <mergeCell ref="O88:P88"/>
    <mergeCell ref="Q88:R88"/>
    <mergeCell ref="G90:H90"/>
    <mergeCell ref="G91:H91"/>
    <mergeCell ref="I91:J91"/>
    <mergeCell ref="K91:L91"/>
    <mergeCell ref="M91:N91"/>
    <mergeCell ref="O91:P91"/>
    <mergeCell ref="Q91:R91"/>
    <mergeCell ref="I90:J90"/>
    <mergeCell ref="K90:L90"/>
    <mergeCell ref="M90:N90"/>
    <mergeCell ref="O90:P90"/>
    <mergeCell ref="Q90:R90"/>
    <mergeCell ref="S102:T102"/>
    <mergeCell ref="U102:V102"/>
    <mergeCell ref="S96:T96"/>
    <mergeCell ref="U96:V96"/>
    <mergeCell ref="G99:H99"/>
    <mergeCell ref="G100:H100"/>
    <mergeCell ref="I100:J100"/>
    <mergeCell ref="K100:L100"/>
    <mergeCell ref="M100:N100"/>
    <mergeCell ref="O100:P100"/>
    <mergeCell ref="Q100:R100"/>
    <mergeCell ref="S98:T98"/>
    <mergeCell ref="U98:V98"/>
    <mergeCell ref="S99:T99"/>
    <mergeCell ref="U99:V99"/>
    <mergeCell ref="S100:T100"/>
    <mergeCell ref="U100:V100"/>
    <mergeCell ref="Q102:R102"/>
    <mergeCell ref="I99:J99"/>
    <mergeCell ref="K99:L99"/>
    <mergeCell ref="M99:N99"/>
    <mergeCell ref="O99:P99"/>
    <mergeCell ref="Q94:R94"/>
    <mergeCell ref="G98:H98"/>
    <mergeCell ref="I98:J98"/>
    <mergeCell ref="K98:L98"/>
    <mergeCell ref="M98:N98"/>
    <mergeCell ref="O98:P98"/>
    <mergeCell ref="Q98:R98"/>
    <mergeCell ref="S101:T101"/>
    <mergeCell ref="U101:V101"/>
    <mergeCell ref="G96:H96"/>
    <mergeCell ref="B94:C94"/>
    <mergeCell ref="B95:C95"/>
    <mergeCell ref="G101:H101"/>
    <mergeCell ref="A97:C97"/>
    <mergeCell ref="I94:J94"/>
    <mergeCell ref="K94:L94"/>
    <mergeCell ref="M94:N94"/>
    <mergeCell ref="O94:P94"/>
    <mergeCell ref="G102:H102"/>
    <mergeCell ref="I102:J102"/>
    <mergeCell ref="K102:L102"/>
    <mergeCell ref="M102:N102"/>
    <mergeCell ref="O102:P102"/>
    <mergeCell ref="AE5:AE14"/>
    <mergeCell ref="AU11:AU12"/>
    <mergeCell ref="R149:T149"/>
    <mergeCell ref="D134:D135"/>
    <mergeCell ref="E134:G135"/>
    <mergeCell ref="S94:T94"/>
    <mergeCell ref="U94:V94"/>
    <mergeCell ref="G94:H94"/>
    <mergeCell ref="I96:J96"/>
    <mergeCell ref="K96:L96"/>
    <mergeCell ref="M96:N96"/>
    <mergeCell ref="O96:P96"/>
    <mergeCell ref="Q96:R96"/>
    <mergeCell ref="Q99:R99"/>
    <mergeCell ref="I101:J101"/>
    <mergeCell ref="K101:L101"/>
    <mergeCell ref="M101:N101"/>
    <mergeCell ref="O101:P101"/>
    <mergeCell ref="Q101:R101"/>
    <mergeCell ref="A142:C142"/>
    <mergeCell ref="A157:B159"/>
    <mergeCell ref="K164:L164"/>
    <mergeCell ref="D104:D105"/>
    <mergeCell ref="D107:D108"/>
    <mergeCell ref="J111:T112"/>
    <mergeCell ref="J113:J127"/>
    <mergeCell ref="K113:L113"/>
    <mergeCell ref="T113:T127"/>
    <mergeCell ref="J128:T129"/>
  </mergeCells>
  <conditionalFormatting sqref="AL42:AL49">
    <cfRule type="containsText" dxfId="1" priority="2" operator="containsText" text=",">
      <formula>NOT(ISERROR(SEARCH(",",AL42)))</formula>
    </cfRule>
  </conditionalFormatting>
  <conditionalFormatting sqref="BJ42:BJ49">
    <cfRule type="containsText" dxfId="0" priority="1" operator="containsText" text=",">
      <formula>NOT(ISERROR(SEARCH(",",BJ42)))</formula>
    </cfRule>
  </conditionalFormatting>
  <pageMargins left="0.7" right="0.7" top="0.75" bottom="0.75" header="0" footer="0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2</vt:i4>
      </vt:variant>
      <vt:variant>
        <vt:lpstr>Именованные диапазоны</vt:lpstr>
      </vt:variant>
      <vt:variant>
        <vt:i4>2</vt:i4>
      </vt:variant>
    </vt:vector>
  </HeadingPairs>
  <TitlesOfParts>
    <vt:vector size="4" baseType="lpstr">
      <vt:lpstr>Лист1</vt:lpstr>
      <vt:lpstr>Лаба 2</vt:lpstr>
      <vt:lpstr>'Лаба 2'!solver_adj</vt:lpstr>
      <vt:lpstr>'Лаба 2'!solver_opt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lxve_every1</cp:lastModifiedBy>
  <dcterms:modified xsi:type="dcterms:W3CDTF">2023-03-29T07:36:52Z</dcterms:modified>
</cp:coreProperties>
</file>